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86" yWindow="690" windowWidth="17415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<sst xmlns="http://schemas.openxmlformats.org/spreadsheetml/2006/main" count="166" uniqueCount="113">
  <si>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</si>
  <si>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</si>
  <si>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</si>
  <si>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</si>
  <si>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</si>
  <si>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</si>
  <si>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</si>
  <si>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</si>
  <si>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</si>
  <si>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</si>
  <si>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</si>
  <si>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</si>
  <si>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</si>
  <si>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</si>
  <si>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</si>
  <si>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</si>
  <si>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</si>
  <si>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</si>
  <si>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</si>
  <si>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</si>
  <si>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</si>
  <si>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</si>
  <si>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</si>
  <si>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</si>
  <si>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</si>
  <si>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</si>
  <si>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</si>
  <si>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</si>
  <si>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</si>
  <si>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</si>
  <si>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</si>
  <si>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</si>
  <si>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</si>
  <si>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</si>
  <si>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</si>
  <si>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</si>
  <si>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</si>
  <si>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</si>
  <si>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</si>
  <si>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</si>
  <si>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</si>
  <si>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</si>
  <si>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</si>
  <si>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</si>
  <si>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</si>
  <si>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</si>
  <si>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</si>
  <si>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</si>
  <si>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</si>
  <si>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</si>
  <si>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</si>
  <si>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</si>
  <si>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</si>
  <si>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</si>
  <si>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</si>
  <si>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</si>
  <si>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</si>
  <si>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</si>
  <si>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</si>
  <si>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</si>
  <si>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</si>
  <si>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</si>
  <si>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</si>
  <si>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</si>
  <si>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</si>
  <si>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</si>
  <si>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</si>
  <si>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</si>
  <si>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</si>
  <si>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</si>
  <si>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</si>
  <si>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</si>
  <si>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</si>
  <si>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</si>
  <si>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</si>
  <si>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</si>
  <si>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</si>
  <si>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</si>
  <si>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</si>
  <si>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</si>
  <si>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</si>
  <si>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</si>
  <si>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</si>
  <si>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</si>
  <si>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</si>
  <si>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</si>
  <si>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</si>
  <si>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</si>
  <si>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</si>
  <si>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</si>
  <si>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</si>
  <si>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</si>
  <si>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</si>
  <si>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</si>
  <si>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</si>
  <si>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</si>
  <si>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</si>
  <si>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</si>
  <si>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</si>
  <si>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</si>
  <si>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</si>
  <si>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</si>
  <si>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</si>
  <si>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</si>
  <si>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</si>
  <si>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</si>
  <si>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</si>
  <si>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</si>
  <si>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</si>
  <si>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</si>
  <si>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</si>
  <si>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</si>
  <si>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18.09.2018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</si>
</sst>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11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146273.29999999993</c:v>
                </c:pt>
                <c:pt idx="1">
                  <c:v>138185.91</c:v>
                </c:pt>
                <c:pt idx="2">
                  <c:v>1498.7000000000003</c:v>
                </c:pt>
                <c:pt idx="3">
                  <c:v>6588.689999999926</c:v>
                </c:pt>
              </c:numCache>
            </c:numRef>
          </c:val>
          <c:shape val="box"/>
        </c:ser>
        <c:shape val="box"/>
        <c:axId val="39463457"/>
        <c:axId val="19626794"/>
      </c:bar3D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539181.4</c:v>
                </c:pt>
                <c:pt idx="1">
                  <c:v>183927.59999999998</c:v>
                </c:pt>
                <c:pt idx="2">
                  <c:v>444158.80000000016</c:v>
                </c:pt>
                <c:pt idx="3">
                  <c:v>24.7</c:v>
                </c:pt>
                <c:pt idx="4">
                  <c:v>21062.199999999997</c:v>
                </c:pt>
                <c:pt idx="5">
                  <c:v>52786.099999999984</c:v>
                </c:pt>
                <c:pt idx="6">
                  <c:v>8004.999999999999</c:v>
                </c:pt>
                <c:pt idx="7">
                  <c:v>13144.599999999882</c:v>
                </c:pt>
              </c:numCache>
            </c:numRef>
          </c:val>
          <c:shape val="box"/>
        </c:ser>
        <c:shape val="box"/>
        <c:axId val="42423419"/>
        <c:axId val="46266452"/>
      </c:bar3D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271671.4</c:v>
                </c:pt>
                <c:pt idx="1">
                  <c:v>174550.1</c:v>
                </c:pt>
                <c:pt idx="2">
                  <c:v>271671.4</c:v>
                </c:pt>
              </c:numCache>
            </c:numRef>
          </c:val>
          <c:shape val="box"/>
        </c:ser>
        <c:shape val="box"/>
        <c:axId val="13744885"/>
        <c:axId val="56595102"/>
      </c:bar3D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15567.7</c:v>
                </c:pt>
                <c:pt idx="1">
                  <c:v>8761.2</c:v>
                </c:pt>
                <c:pt idx="2">
                  <c:v>59.6</c:v>
                </c:pt>
                <c:pt idx="3">
                  <c:v>1011.5999999999998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5240.900000000001</c:v>
                </c:pt>
              </c:numCache>
            </c:numRef>
          </c:val>
          <c:shape val="box"/>
        </c:ser>
        <c:shape val="box"/>
        <c:axId val="39593871"/>
        <c:axId val="20800520"/>
      </c:bar3D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21348.800000000003</c:v>
                </c:pt>
                <c:pt idx="1">
                  <c:v>12719.9</c:v>
                </c:pt>
                <c:pt idx="2">
                  <c:v>1</c:v>
                </c:pt>
                <c:pt idx="3">
                  <c:v>535</c:v>
                </c:pt>
                <c:pt idx="4">
                  <c:v>526.0000000000002</c:v>
                </c:pt>
                <c:pt idx="5">
                  <c:v>880</c:v>
                </c:pt>
                <c:pt idx="6">
                  <c:v>6686.900000000003</c:v>
                </c:pt>
              </c:numCache>
            </c:numRef>
          </c:val>
          <c:shape val="box"/>
        </c:ser>
        <c:shape val="box"/>
        <c:axId val="52986953"/>
        <c:axId val="7120530"/>
      </c:bar3D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20530"/>
        <c:crosses val="autoZero"/>
        <c:auto val="1"/>
        <c:lblOffset val="100"/>
        <c:tickLblSkip val="2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6786.400000000001</c:v>
                </c:pt>
                <c:pt idx="1">
                  <c:v>2061.7000000000003</c:v>
                </c:pt>
                <c:pt idx="2">
                  <c:v>391.1</c:v>
                </c:pt>
                <c:pt idx="3">
                  <c:v>228.1999999999999</c:v>
                </c:pt>
                <c:pt idx="4">
                  <c:v>3583.4</c:v>
                </c:pt>
                <c:pt idx="5">
                  <c:v>522.0000000000008</c:v>
                </c:pt>
              </c:numCache>
            </c:numRef>
          </c:val>
          <c:shape val="box"/>
        </c:ser>
        <c:shape val="box"/>
        <c:axId val="64084771"/>
        <c:axId val="39892028"/>
      </c:bar3D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27997.2</c:v>
                </c:pt>
              </c:numCache>
            </c:numRef>
          </c:val>
          <c:shape val="box"/>
        </c:ser>
        <c:shape val="box"/>
        <c:axId val="23483933"/>
        <c:axId val="10028806"/>
      </c:bar3D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539181.4</c:v>
                </c:pt>
                <c:pt idx="1">
                  <c:v>271671.4</c:v>
                </c:pt>
                <c:pt idx="2">
                  <c:v>15567.7</c:v>
                </c:pt>
                <c:pt idx="3">
                  <c:v>21348.800000000003</c:v>
                </c:pt>
                <c:pt idx="4">
                  <c:v>6786.400000000001</c:v>
                </c:pt>
                <c:pt idx="5">
                  <c:v>146273.29999999993</c:v>
                </c:pt>
                <c:pt idx="6">
                  <c:v>27997.2</c:v>
                </c:pt>
              </c:numCache>
            </c:numRef>
          </c:val>
          <c:shape val="box"/>
        </c:ser>
        <c:shape val="box"/>
        <c:axId val="23150391"/>
        <c:axId val="7026928"/>
      </c:bar3D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26928"/>
        <c:crosses val="autoZero"/>
        <c:auto val="1"/>
        <c:lblOffset val="100"/>
        <c:tickLblSkip val="1"/>
        <c:noMultiLvlLbl val="0"/>
      </c:catAx>
      <c:valAx>
        <c:axId val="702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615682.4100000003</c:v>
                </c:pt>
                <c:pt idx="1">
                  <c:v>65521.799999999974</c:v>
                </c:pt>
                <c:pt idx="2">
                  <c:v>22089.399999999994</c:v>
                </c:pt>
                <c:pt idx="3">
                  <c:v>20408.000000000004</c:v>
                </c:pt>
                <c:pt idx="4">
                  <c:v>26.4</c:v>
                </c:pt>
                <c:pt idx="5">
                  <c:v>626892.1899999997</c:v>
                </c:pt>
              </c:numCache>
            </c:numRef>
          </c:val>
          <c:shape val="box"/>
        </c:ser>
        <c:shape val="box"/>
        <c:axId val="63242353"/>
        <c:axId val="32310266"/>
      </c:bar3D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10266"/>
        <c:crosses val="autoZero"/>
        <c:auto val="1"/>
        <c:lblOffset val="100"/>
        <c:tickLblSkip val="1"/>
        <c:noMultiLvlLbl val="0"/>
      </c:catAx>
      <c:valAx>
        <c:axId val="3231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2" sqref="M12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110</v>
      </c>
      <c r="C3" s="172" t="s">
        <v>106</v>
      </c>
      <c r="D3" s="172" t="s">
        <v>22</v>
      </c>
      <c r="E3" s="172" t="s">
        <v>21</v>
      </c>
      <c r="F3" s="172" t="s">
        <v>109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3"/>
    </row>
    <row r="6" spans="1:11" ht="18.75" thickBot="1">
      <c r="A6" s="20" t="s">
        <v>26</v>
      </c>
      <c r="B6" s="38">
        <f>609103+70</f>
        <v>609173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</f>
        <v>539181.4</v>
      </c>
      <c r="E6" s="3">
        <f>D6/D154*100</f>
        <v>39.92102294930877</v>
      </c>
      <c r="F6" s="3">
        <f>D6/B6*100</f>
        <v>88.51039031605143</v>
      </c>
      <c r="G6" s="3">
        <f aca="true" t="shared" si="0" ref="G6:G43">D6/C6*100</f>
        <v>65.18783982389004</v>
      </c>
      <c r="H6" s="40">
        <f>B6-D6</f>
        <v>69991.59999999998</v>
      </c>
      <c r="I6" s="40">
        <f aca="true" t="shared" si="1" ref="I6:I43">C6-D6</f>
        <v>287938.19999999995</v>
      </c>
      <c r="J6" s="164"/>
      <c r="K6" s="151"/>
    </row>
    <row r="7" spans="1:12" s="94" customFormat="1" ht="18.75">
      <c r="A7" s="138" t="s">
        <v>81</v>
      </c>
      <c r="B7" s="139">
        <v>200980.3</v>
      </c>
      <c r="C7" s="140">
        <v>262517.6</v>
      </c>
      <c r="D7" s="141">
        <f>8282.7+10875.2+9132.6+9963.6+4.3+9215.1+9968.6+9459.9+11450.4+9572.3+23759.4-0.1+3644+36528.9+8511.9+179.9+764+816.4+0.1+3426.1+9016.3+0.5+9355.5</f>
        <v>183927.59999999998</v>
      </c>
      <c r="E7" s="142">
        <f>D7/D6*100</f>
        <v>34.11237850563836</v>
      </c>
      <c r="F7" s="142">
        <f>D7/B7*100</f>
        <v>91.51523806064574</v>
      </c>
      <c r="G7" s="142">
        <f>D7/C7*100</f>
        <v>70.06295958823333</v>
      </c>
      <c r="H7" s="141">
        <f>B7-D7</f>
        <v>17052.70000000001</v>
      </c>
      <c r="I7" s="141">
        <f t="shared" si="1"/>
        <v>78590</v>
      </c>
      <c r="J7" s="166"/>
      <c r="K7" s="151"/>
      <c r="L7" s="137"/>
    </row>
    <row r="8" spans="1:12" s="93" customFormat="1" ht="18">
      <c r="A8" s="100" t="s">
        <v>3</v>
      </c>
      <c r="B8" s="124">
        <f>490814.651+295.3</f>
        <v>491109.951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</f>
        <v>444158.80000000016</v>
      </c>
      <c r="E8" s="104">
        <f>D8/D6*100</f>
        <v>82.37650631123405</v>
      </c>
      <c r="F8" s="104">
        <f>D8/B8*100</f>
        <v>90.43978829905652</v>
      </c>
      <c r="G8" s="104">
        <f t="shared" si="0"/>
        <v>67.65408344432356</v>
      </c>
      <c r="H8" s="102">
        <f>B8-D8</f>
        <v>46951.15099999984</v>
      </c>
      <c r="I8" s="102">
        <f t="shared" si="1"/>
        <v>212355.59999999986</v>
      </c>
      <c r="J8" s="164"/>
      <c r="K8" s="151"/>
      <c r="L8" s="137"/>
    </row>
    <row r="9" spans="1:12" s="93" customFormat="1" ht="18">
      <c r="A9" s="100" t="s">
        <v>2</v>
      </c>
      <c r="B9" s="124">
        <v>51.6</v>
      </c>
      <c r="C9" s="125">
        <v>97.7</v>
      </c>
      <c r="D9" s="102">
        <f>3.4+5.4+0.8+4.1+3.6+0.3+0.3+3.4+3.4</f>
        <v>24.7</v>
      </c>
      <c r="E9" s="126">
        <f>D9/D6*100</f>
        <v>0.004581018558874619</v>
      </c>
      <c r="F9" s="104">
        <f>D9/B9*100</f>
        <v>47.86821705426356</v>
      </c>
      <c r="G9" s="104">
        <f t="shared" si="0"/>
        <v>25.281473899692937</v>
      </c>
      <c r="H9" s="102">
        <f aca="true" t="shared" si="2" ref="H9:H43">B9-D9</f>
        <v>26.900000000000002</v>
      </c>
      <c r="I9" s="102">
        <f t="shared" si="1"/>
        <v>73</v>
      </c>
      <c r="J9" s="164"/>
      <c r="K9" s="151"/>
      <c r="L9" s="137"/>
    </row>
    <row r="10" spans="1:12" s="93" customFormat="1" ht="18">
      <c r="A10" s="100" t="s">
        <v>1</v>
      </c>
      <c r="B10" s="124">
        <f>31145.849-3003.1</f>
        <v>28142.749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</f>
        <v>21062.199999999997</v>
      </c>
      <c r="E10" s="104">
        <f>D10/D6*100</f>
        <v>3.90632911298498</v>
      </c>
      <c r="F10" s="104">
        <f aca="true" t="shared" si="3" ref="F10:F41">D10/B10*100</f>
        <v>74.84059215395055</v>
      </c>
      <c r="G10" s="104">
        <f t="shared" si="0"/>
        <v>52.07383526014417</v>
      </c>
      <c r="H10" s="102">
        <f t="shared" si="2"/>
        <v>7080.549000000003</v>
      </c>
      <c r="I10" s="102">
        <f t="shared" si="1"/>
        <v>19384.600000000006</v>
      </c>
      <c r="J10" s="164"/>
      <c r="K10" s="151"/>
      <c r="L10" s="137"/>
    </row>
    <row r="11" spans="1:12" s="93" customFormat="1" ht="18">
      <c r="A11" s="100" t="s">
        <v>0</v>
      </c>
      <c r="B11" s="124">
        <v>55264.7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</f>
        <v>52786.099999999984</v>
      </c>
      <c r="E11" s="104">
        <f>D11/D6*100</f>
        <v>9.790044686259575</v>
      </c>
      <c r="F11" s="104">
        <f t="shared" si="3"/>
        <v>95.51503943747092</v>
      </c>
      <c r="G11" s="104">
        <f t="shared" si="0"/>
        <v>59.866919807105155</v>
      </c>
      <c r="H11" s="102">
        <f t="shared" si="2"/>
        <v>2478.600000000013</v>
      </c>
      <c r="I11" s="102">
        <f t="shared" si="1"/>
        <v>35386.30000000001</v>
      </c>
      <c r="J11" s="164"/>
      <c r="K11" s="151"/>
      <c r="L11" s="137"/>
    </row>
    <row r="12" spans="1:12" s="93" customFormat="1" ht="18">
      <c r="A12" s="100" t="s">
        <v>14</v>
      </c>
      <c r="B12" s="124">
        <v>9366.9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874.5+251.8+346.3+159.7+538.5+10.6+57+168.9+31.7+165.3+10.6+439.5+199.1+10.6+10.6+19+325.9+10.6+160.6+453.5-0.1+21.1+21.1+563.9+19+160.9+282.3+19+21.1+523.5+168.9+208.4+214.2+11+120.2+238.1+77.3+88.4+143.6+33.1+97.5+90.7+11+91.4+97.6+10.6+295.3+0.5+86.9+44.2</f>
        <v>8004.999999999999</v>
      </c>
      <c r="E12" s="104">
        <f>D12/D6*100</f>
        <v>1.4846580390198918</v>
      </c>
      <c r="F12" s="104">
        <f t="shared" si="3"/>
        <v>85.46050454259147</v>
      </c>
      <c r="G12" s="104">
        <f t="shared" si="0"/>
        <v>62.84346051185429</v>
      </c>
      <c r="H12" s="102">
        <f>B12-D12</f>
        <v>1361.9000000000005</v>
      </c>
      <c r="I12" s="102">
        <f t="shared" si="1"/>
        <v>4733.000000000001</v>
      </c>
      <c r="J12" s="164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25237.1</v>
      </c>
      <c r="C13" s="125">
        <f>C6-C8-C9-C10-C11-C12</f>
        <v>29150.299999999945</v>
      </c>
      <c r="D13" s="125">
        <f>D6-D8-D9-D10-D11-D12</f>
        <v>13144.599999999882</v>
      </c>
      <c r="E13" s="104">
        <f>D13/D6*100</f>
        <v>2.437880831942623</v>
      </c>
      <c r="F13" s="104">
        <f t="shared" si="3"/>
        <v>52.08443125398672</v>
      </c>
      <c r="G13" s="104">
        <f t="shared" si="0"/>
        <v>45.092503336157456</v>
      </c>
      <c r="H13" s="102">
        <f t="shared" si="2"/>
        <v>12092.500000000116</v>
      </c>
      <c r="I13" s="102">
        <f t="shared" si="1"/>
        <v>16005.700000000063</v>
      </c>
      <c r="J13" s="164"/>
      <c r="K13" s="181"/>
      <c r="L13" s="182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6"/>
      <c r="K14" s="164"/>
      <c r="L14" s="164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6"/>
      <c r="K15" s="164"/>
      <c r="L15" s="164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6"/>
      <c r="K16" s="164"/>
      <c r="L16" s="164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6"/>
      <c r="K17" s="164"/>
      <c r="L17" s="164"/>
      <c r="M17" s="11"/>
    </row>
    <row r="18" spans="1:12" ht="18.75" thickBot="1">
      <c r="A18" s="20" t="s">
        <v>19</v>
      </c>
      <c r="B18" s="38">
        <f>299946.0055+589.9</f>
        <v>300535.90550000005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</f>
        <v>271671.4</v>
      </c>
      <c r="E18" s="3">
        <f>D18/D154*100</f>
        <v>20.114566626502405</v>
      </c>
      <c r="F18" s="3">
        <f>D18/B18*100</f>
        <v>90.39565490453518</v>
      </c>
      <c r="G18" s="3">
        <f t="shared" si="0"/>
        <v>66.8981713477744</v>
      </c>
      <c r="H18" s="40">
        <f>B18-D18</f>
        <v>28864.50550000003</v>
      </c>
      <c r="I18" s="40">
        <f t="shared" si="1"/>
        <v>134425.49999999994</v>
      </c>
      <c r="J18" s="164"/>
      <c r="K18" s="181"/>
      <c r="L18" s="164"/>
    </row>
    <row r="19" spans="1:13" s="94" customFormat="1" ht="18.75">
      <c r="A19" s="138" t="s">
        <v>82</v>
      </c>
      <c r="B19" s="139">
        <f>180037.504+589.9</f>
        <v>180627.40399999998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</f>
        <v>174550.1</v>
      </c>
      <c r="E19" s="142">
        <f>D19/D18*100</f>
        <v>64.25045109643489</v>
      </c>
      <c r="F19" s="142">
        <f t="shared" si="3"/>
        <v>96.63544740974078</v>
      </c>
      <c r="G19" s="142">
        <f t="shared" si="0"/>
        <v>76.65395469185172</v>
      </c>
      <c r="H19" s="141">
        <f t="shared" si="2"/>
        <v>6077.303999999975</v>
      </c>
      <c r="I19" s="141">
        <f t="shared" si="1"/>
        <v>53161.69999999998</v>
      </c>
      <c r="J19" s="166"/>
      <c r="K19" s="181"/>
      <c r="L19" s="164"/>
      <c r="M19" s="93"/>
    </row>
    <row r="20" spans="1:12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81"/>
      <c r="L20" s="164"/>
    </row>
    <row r="21" spans="1:12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81"/>
      <c r="L21" s="164"/>
    </row>
    <row r="22" spans="1:12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81"/>
      <c r="L22" s="164"/>
    </row>
    <row r="23" spans="1:12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81"/>
      <c r="L23" s="164"/>
    </row>
    <row r="24" spans="1:12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81"/>
      <c r="L24" s="164"/>
    </row>
    <row r="25" spans="1:12" s="93" customFormat="1" ht="18.75" thickBot="1">
      <c r="A25" s="100" t="s">
        <v>27</v>
      </c>
      <c r="B25" s="125">
        <f>B18</f>
        <v>300535.90550000005</v>
      </c>
      <c r="C25" s="125">
        <f>C18</f>
        <v>406096.89999999997</v>
      </c>
      <c r="D25" s="125">
        <f>D18</f>
        <v>271671.4</v>
      </c>
      <c r="E25" s="104">
        <f>D25/D18*100</f>
        <v>100</v>
      </c>
      <c r="F25" s="104">
        <f t="shared" si="3"/>
        <v>90.39565490453518</v>
      </c>
      <c r="G25" s="104">
        <f t="shared" si="0"/>
        <v>66.8981713477744</v>
      </c>
      <c r="H25" s="102">
        <f t="shared" si="2"/>
        <v>28864.50550000003</v>
      </c>
      <c r="I25" s="102">
        <f t="shared" si="1"/>
        <v>134425.49999999994</v>
      </c>
      <c r="J25" s="164"/>
      <c r="K25" s="181"/>
      <c r="L25" s="164"/>
    </row>
    <row r="26" spans="1:12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4"/>
      <c r="K26" s="181"/>
      <c r="L26" s="164"/>
    </row>
    <row r="27" spans="1:12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4"/>
      <c r="K27" s="181"/>
      <c r="L27" s="164"/>
    </row>
    <row r="28" spans="1:12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4"/>
      <c r="K28" s="181"/>
      <c r="L28" s="164"/>
    </row>
    <row r="29" spans="1:12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4"/>
      <c r="K29" s="181"/>
      <c r="L29" s="164"/>
    </row>
    <row r="30" spans="1:12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4"/>
      <c r="K30" s="181"/>
      <c r="L30" s="164"/>
    </row>
    <row r="31" spans="1:12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4"/>
      <c r="K31" s="181"/>
      <c r="L31" s="164"/>
    </row>
    <row r="32" spans="1:12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4"/>
      <c r="K32" s="181"/>
      <c r="L32" s="164"/>
    </row>
    <row r="33" spans="1:12" ht="18.75" thickBot="1">
      <c r="A33" s="20" t="s">
        <v>17</v>
      </c>
      <c r="B33" s="38">
        <f>17992.2288+81.6</f>
        <v>18073.8288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</f>
        <v>15567.7</v>
      </c>
      <c r="E33" s="3">
        <f>D33/D154*100</f>
        <v>1.1526334346250708</v>
      </c>
      <c r="F33" s="3">
        <f>D33/B33*100</f>
        <v>86.13393527330524</v>
      </c>
      <c r="G33" s="3">
        <f t="shared" si="0"/>
        <v>62.597559259333735</v>
      </c>
      <c r="H33" s="40">
        <f t="shared" si="2"/>
        <v>2506.1287999999986</v>
      </c>
      <c r="I33" s="40">
        <f t="shared" si="1"/>
        <v>9301.799999999996</v>
      </c>
      <c r="J33" s="167"/>
      <c r="K33" s="181"/>
      <c r="L33" s="164"/>
    </row>
    <row r="34" spans="1:12" s="93" customFormat="1" ht="18">
      <c r="A34" s="100" t="s">
        <v>3</v>
      </c>
      <c r="B34" s="124">
        <f>9786.6978+40</f>
        <v>9826.6978</v>
      </c>
      <c r="C34" s="125">
        <f>12906.6+40</f>
        <v>12946.6</v>
      </c>
      <c r="D34" s="102">
        <f>364.6+548.1+389.3+522.2+63+395+556.7+63+391.3+512.8+63+394.6+664.3+89.8+0.3+456.7+632.3+12+89.8+485+19+3.6+623.1+89.8+9.9+419.4+475.8+71.8+336.5+18.5</f>
        <v>8761.2</v>
      </c>
      <c r="E34" s="104">
        <f>D34/D33*100</f>
        <v>56.27806291231203</v>
      </c>
      <c r="F34" s="104">
        <f t="shared" si="3"/>
        <v>89.157112371971</v>
      </c>
      <c r="G34" s="104">
        <f t="shared" si="0"/>
        <v>67.67182117312653</v>
      </c>
      <c r="H34" s="102">
        <f t="shared" si="2"/>
        <v>1065.4977999999992</v>
      </c>
      <c r="I34" s="102">
        <f t="shared" si="1"/>
        <v>4185.4</v>
      </c>
      <c r="J34" s="164"/>
      <c r="K34" s="181"/>
      <c r="L34" s="164"/>
    </row>
    <row r="35" spans="1:12" s="93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0.38284396538987775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4"/>
      <c r="K35" s="181"/>
      <c r="L35" s="164"/>
    </row>
    <row r="36" spans="1:12" s="93" customFormat="1" ht="18">
      <c r="A36" s="100" t="s">
        <v>0</v>
      </c>
      <c r="B36" s="124">
        <v>1073.221</v>
      </c>
      <c r="C36" s="125">
        <v>1783</v>
      </c>
      <c r="D36" s="102">
        <f>0.3+11.3+141.7+12.6+0.9+12.9+1.3+0.5+169.4+1.1+0.1+0.4+11.3+166.1+3.8+5.1+2.9+0.2+0.5+11.9+319.9+44.3+12.2+0.9-0.2+8.4+29.5+8.6+0.2+7.6+0.4+4.3+0.1+0.3+7.8+4.8+0.2+5.5+2.5</f>
        <v>1011.5999999999998</v>
      </c>
      <c r="E36" s="104">
        <f>D36/D33*100</f>
        <v>6.498069721281883</v>
      </c>
      <c r="F36" s="104">
        <f t="shared" si="3"/>
        <v>94.25831212769782</v>
      </c>
      <c r="G36" s="104">
        <f t="shared" si="0"/>
        <v>56.735838474481206</v>
      </c>
      <c r="H36" s="102">
        <f t="shared" si="2"/>
        <v>61.62100000000021</v>
      </c>
      <c r="I36" s="102">
        <f t="shared" si="1"/>
        <v>771.4000000000002</v>
      </c>
      <c r="J36" s="164"/>
      <c r="K36" s="181"/>
      <c r="L36" s="164"/>
    </row>
    <row r="37" spans="1:12" s="94" customFormat="1" ht="18.75">
      <c r="A37" s="115" t="s">
        <v>7</v>
      </c>
      <c r="B37" s="135">
        <v>718.973</v>
      </c>
      <c r="C37" s="136">
        <v>1008</v>
      </c>
      <c r="D37" s="106">
        <f>44.8+25.1+1.6+0.5+2.7+1+6.3+8.5+2.5+36.6+1.5+4.5+23.6+4.1+106.1+32.6+9.7+2.5+4.3+1.9+2.2+5.9+0.2+124.8+6.7</f>
        <v>460.19999999999993</v>
      </c>
      <c r="E37" s="110">
        <f>D37/D33*100</f>
        <v>2.9561206857788878</v>
      </c>
      <c r="F37" s="110">
        <f t="shared" si="3"/>
        <v>64.00796691948098</v>
      </c>
      <c r="G37" s="110">
        <f t="shared" si="0"/>
        <v>45.6547619047619</v>
      </c>
      <c r="H37" s="106">
        <f t="shared" si="2"/>
        <v>258.773</v>
      </c>
      <c r="I37" s="106">
        <f t="shared" si="1"/>
        <v>547.8000000000001</v>
      </c>
      <c r="J37" s="166"/>
      <c r="K37" s="181"/>
      <c r="L37" s="182"/>
    </row>
    <row r="38" spans="1:12" s="93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0.2196856311465406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4"/>
      <c r="K38" s="181"/>
      <c r="L38" s="164"/>
    </row>
    <row r="39" spans="1:12" s="93" customFormat="1" ht="18.75" thickBot="1">
      <c r="A39" s="100" t="s">
        <v>27</v>
      </c>
      <c r="B39" s="124">
        <f>B33-B34-B36-B37-B35-B38</f>
        <v>6361.091</v>
      </c>
      <c r="C39" s="124">
        <f>C33-C34-C36-C37-C35-C38</f>
        <v>8961.299999999996</v>
      </c>
      <c r="D39" s="124">
        <f>D33-D34-D36-D37-D35-D38</f>
        <v>5240.900000000001</v>
      </c>
      <c r="E39" s="104">
        <f>D39/D33*100</f>
        <v>33.665217084090784</v>
      </c>
      <c r="F39" s="104">
        <f t="shared" si="3"/>
        <v>82.38995480492261</v>
      </c>
      <c r="G39" s="104">
        <f t="shared" si="0"/>
        <v>58.483702141430406</v>
      </c>
      <c r="H39" s="102">
        <f>B39-D39</f>
        <v>1120.1909999999998</v>
      </c>
      <c r="I39" s="102">
        <f t="shared" si="1"/>
        <v>3720.399999999995</v>
      </c>
      <c r="J39" s="164"/>
      <c r="K39" s="181"/>
      <c r="L39" s="164"/>
    </row>
    <row r="40" spans="1:12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4"/>
      <c r="K40" s="181"/>
      <c r="L40" s="164"/>
    </row>
    <row r="41" spans="1:12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4"/>
      <c r="K41" s="181"/>
      <c r="L41" s="164"/>
    </row>
    <row r="42" spans="1:12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4"/>
      <c r="K42" s="181"/>
      <c r="L42" s="164"/>
    </row>
    <row r="43" spans="1:12" ht="19.5" thickBot="1">
      <c r="A43" s="12" t="s">
        <v>16</v>
      </c>
      <c r="B43" s="76">
        <v>1430.178</v>
      </c>
      <c r="C43" s="39">
        <f>1126.9+467</f>
        <v>1593.9</v>
      </c>
      <c r="D43" s="40">
        <f>63.9+1.1+0.6+70.8+0.5+48+6.7+2+13.7+10.4+20.2+0.7+37.4+27+181.7+0.2+2.1+7.5+10+0.2+3.3+24.2+12.6+1.5+22</f>
        <v>568.3</v>
      </c>
      <c r="E43" s="3">
        <f>D43/D154*100</f>
        <v>0.042076965826514365</v>
      </c>
      <c r="F43" s="3">
        <f>D43/B43*100</f>
        <v>39.736312542914234</v>
      </c>
      <c r="G43" s="3">
        <f t="shared" si="0"/>
        <v>35.65468348077043</v>
      </c>
      <c r="H43" s="40">
        <f t="shared" si="2"/>
        <v>861.8780000000002</v>
      </c>
      <c r="I43" s="40">
        <f t="shared" si="1"/>
        <v>1025.6000000000001</v>
      </c>
      <c r="J43" s="164"/>
      <c r="K43" s="181"/>
      <c r="L43" s="164"/>
    </row>
    <row r="44" spans="1:12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4"/>
      <c r="K44" s="181"/>
      <c r="L44" s="164"/>
    </row>
    <row r="45" spans="1:12" ht="18.75" thickBot="1">
      <c r="A45" s="20" t="s">
        <v>44</v>
      </c>
      <c r="B45" s="38">
        <v>10114.031</v>
      </c>
      <c r="C45" s="39">
        <v>13576.3</v>
      </c>
      <c r="D45" s="40">
        <f>237.1+562.8+52.3+349.2+679.9+375.9+891+78.3+327.4+13.5+670.2+386.5+179.9+781.7-0.1+25.5+366.5+16.5+692.2+3.8+389.3+707.6+15.1+379.9+4.5+611.9+360.8</f>
        <v>9159.199999999999</v>
      </c>
      <c r="E45" s="3">
        <f>D45/D154*100</f>
        <v>0.6781477131765096</v>
      </c>
      <c r="F45" s="3">
        <f>D45/B45*100</f>
        <v>90.55934275858951</v>
      </c>
      <c r="G45" s="3">
        <f aca="true" t="shared" si="4" ref="G45:G76">D45/C45*100</f>
        <v>67.46462585535087</v>
      </c>
      <c r="H45" s="40">
        <f>B45-D45</f>
        <v>954.831000000002</v>
      </c>
      <c r="I45" s="40">
        <f aca="true" t="shared" si="5" ref="I45:I77">C45-D45</f>
        <v>4417.1</v>
      </c>
      <c r="J45" s="164"/>
      <c r="K45" s="181"/>
      <c r="L45" s="164"/>
    </row>
    <row r="46" spans="1:12" s="93" customFormat="1" ht="18">
      <c r="A46" s="100" t="s">
        <v>3</v>
      </c>
      <c r="B46" s="124">
        <v>9220.134</v>
      </c>
      <c r="C46" s="125">
        <v>12256.4</v>
      </c>
      <c r="D46" s="102">
        <f>237.1+551.8+334.1+652.5+314.7+746.1+319.2+661.7+342.8+781.7+0.2-0.1+366.5+692.2+367.7+697.1+14.1+359.1+599.6+318.9</f>
        <v>8357</v>
      </c>
      <c r="E46" s="104">
        <f>D46/D45*100</f>
        <v>91.24159315224038</v>
      </c>
      <c r="F46" s="104">
        <f aca="true" t="shared" si="6" ref="F46:F74">D46/B46*100</f>
        <v>90.6385959249616</v>
      </c>
      <c r="G46" s="104">
        <f t="shared" si="4"/>
        <v>68.18478509187037</v>
      </c>
      <c r="H46" s="102">
        <f aca="true" t="shared" si="7" ref="H46:H74">B46-D46</f>
        <v>863.134</v>
      </c>
      <c r="I46" s="102">
        <f t="shared" si="5"/>
        <v>3899.3999999999996</v>
      </c>
      <c r="J46" s="164"/>
      <c r="K46" s="181"/>
      <c r="L46" s="164"/>
    </row>
    <row r="47" spans="1:12" s="93" customFormat="1" ht="18">
      <c r="A47" s="100" t="s">
        <v>2</v>
      </c>
      <c r="B47" s="124">
        <v>0.758</v>
      </c>
      <c r="C47" s="125">
        <v>1.5</v>
      </c>
      <c r="D47" s="102">
        <f>0.7</f>
        <v>0.7</v>
      </c>
      <c r="E47" s="104">
        <f>D47/D45*100</f>
        <v>0.007642588872390602</v>
      </c>
      <c r="F47" s="104">
        <f t="shared" si="6"/>
        <v>92.34828496042215</v>
      </c>
      <c r="G47" s="104">
        <f t="shared" si="4"/>
        <v>46.666666666666664</v>
      </c>
      <c r="H47" s="102">
        <f t="shared" si="7"/>
        <v>0.05800000000000005</v>
      </c>
      <c r="I47" s="102">
        <f t="shared" si="5"/>
        <v>0.8</v>
      </c>
      <c r="J47" s="164"/>
      <c r="K47" s="181"/>
      <c r="L47" s="164"/>
    </row>
    <row r="48" spans="1:12" s="93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0.4530963402917286</v>
      </c>
      <c r="F48" s="104">
        <f t="shared" si="6"/>
        <v>70.86748633879782</v>
      </c>
      <c r="G48" s="104">
        <f t="shared" si="4"/>
        <v>41.96157735085945</v>
      </c>
      <c r="H48" s="102">
        <f t="shared" si="7"/>
        <v>17.060000000000002</v>
      </c>
      <c r="I48" s="102">
        <f t="shared" si="5"/>
        <v>57.400000000000006</v>
      </c>
      <c r="J48" s="164"/>
      <c r="K48" s="181"/>
      <c r="L48" s="164"/>
    </row>
    <row r="49" spans="1:12" s="93" customFormat="1" ht="18">
      <c r="A49" s="100" t="s">
        <v>0</v>
      </c>
      <c r="B49" s="124">
        <v>582.127</v>
      </c>
      <c r="C49" s="125">
        <v>879.8</v>
      </c>
      <c r="D49" s="102">
        <f>7.3+51.9+12.7-0.1+54.5+131.2+49.5+2.4+7.9+11.2+178.3+0.4+4.1+0.1+0.6+1.4+0.5+0.8+4.5+4.5+1</f>
        <v>524.6999999999999</v>
      </c>
      <c r="E49" s="104">
        <f>D49/D45*100</f>
        <v>5.728666259061927</v>
      </c>
      <c r="F49" s="104">
        <f t="shared" si="6"/>
        <v>90.134970547664</v>
      </c>
      <c r="G49" s="104">
        <f t="shared" si="4"/>
        <v>59.63855421686747</v>
      </c>
      <c r="H49" s="102">
        <f t="shared" si="7"/>
        <v>57.42700000000002</v>
      </c>
      <c r="I49" s="102">
        <f t="shared" si="5"/>
        <v>355.1</v>
      </c>
      <c r="J49" s="164"/>
      <c r="K49" s="181"/>
      <c r="L49" s="164"/>
    </row>
    <row r="50" spans="1:12" s="93" customFormat="1" ht="18.75" thickBot="1">
      <c r="A50" s="100" t="s">
        <v>27</v>
      </c>
      <c r="B50" s="125">
        <f>B45-B46-B49-B48-B47</f>
        <v>252.45200000000088</v>
      </c>
      <c r="C50" s="125">
        <f>C45-C46-C49-C48-C47</f>
        <v>339.6999999999997</v>
      </c>
      <c r="D50" s="125">
        <f>D45-D46-D49-D48-D47</f>
        <v>235.299999999999</v>
      </c>
      <c r="E50" s="104">
        <f>D50/D45*100</f>
        <v>2.5690016595335727</v>
      </c>
      <c r="F50" s="104">
        <f t="shared" si="6"/>
        <v>93.20583714923953</v>
      </c>
      <c r="G50" s="104">
        <f t="shared" si="4"/>
        <v>69.26700029437716</v>
      </c>
      <c r="H50" s="102">
        <f t="shared" si="7"/>
        <v>17.15200000000189</v>
      </c>
      <c r="I50" s="102">
        <f t="shared" si="5"/>
        <v>104.40000000000072</v>
      </c>
      <c r="J50" s="164"/>
      <c r="K50" s="181"/>
      <c r="L50" s="164"/>
    </row>
    <row r="51" spans="1:12" ht="18.75" thickBot="1">
      <c r="A51" s="20" t="s">
        <v>4</v>
      </c>
      <c r="B51" s="38">
        <f>27764.408+7.1</f>
        <v>27771.507999999998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</f>
        <v>21348.800000000003</v>
      </c>
      <c r="E51" s="3">
        <f>D51/D154*100</f>
        <v>1.5806664227293508</v>
      </c>
      <c r="F51" s="3">
        <f>D51/B51*100</f>
        <v>76.87303116561047</v>
      </c>
      <c r="G51" s="3">
        <f t="shared" si="4"/>
        <v>56.57469339297641</v>
      </c>
      <c r="H51" s="40">
        <f>B51-D51</f>
        <v>6422.707999999995</v>
      </c>
      <c r="I51" s="40">
        <f t="shared" si="5"/>
        <v>16386.799999999996</v>
      </c>
      <c r="J51" s="164"/>
      <c r="K51" s="181"/>
      <c r="L51" s="164"/>
    </row>
    <row r="52" spans="1:12" s="93" customFormat="1" ht="18">
      <c r="A52" s="100" t="s">
        <v>3</v>
      </c>
      <c r="B52" s="124">
        <f>14936.235+23.1</f>
        <v>14959.335000000001</v>
      </c>
      <c r="C52" s="125">
        <f>20097.4+82.2</f>
        <v>20179.600000000002</v>
      </c>
      <c r="D52" s="102">
        <f>632.9+34.3+767.3+737.6+710.6+649.6+792.4+1.6+643.1+825.6+650.1+947+1196.1+785.4+658.1+439+623.6+358.8+550.5+716.3</f>
        <v>12719.9</v>
      </c>
      <c r="E52" s="104">
        <f>D52/D51*100</f>
        <v>59.58133478228284</v>
      </c>
      <c r="F52" s="104">
        <f t="shared" si="6"/>
        <v>85.02984925466272</v>
      </c>
      <c r="G52" s="104">
        <f t="shared" si="4"/>
        <v>63.03345953339014</v>
      </c>
      <c r="H52" s="102">
        <f t="shared" si="7"/>
        <v>2239.4350000000013</v>
      </c>
      <c r="I52" s="102">
        <f t="shared" si="5"/>
        <v>7459.700000000003</v>
      </c>
      <c r="J52" s="164"/>
      <c r="K52" s="181"/>
      <c r="L52" s="164"/>
    </row>
    <row r="53" spans="1:12" s="93" customFormat="1" ht="18">
      <c r="A53" s="100" t="s">
        <v>2</v>
      </c>
      <c r="B53" s="124">
        <v>5.53435</v>
      </c>
      <c r="C53" s="125">
        <f>13.9+1.38435</f>
        <v>15.28435</v>
      </c>
      <c r="D53" s="102">
        <v>1</v>
      </c>
      <c r="E53" s="104">
        <f>D53/D51*100</f>
        <v>0.004684104024582177</v>
      </c>
      <c r="F53" s="104">
        <f>D53/B53*100</f>
        <v>18.068969255648813</v>
      </c>
      <c r="G53" s="104">
        <f t="shared" si="4"/>
        <v>6.542640020674742</v>
      </c>
      <c r="H53" s="102">
        <f t="shared" si="7"/>
        <v>4.53435</v>
      </c>
      <c r="I53" s="102">
        <f t="shared" si="5"/>
        <v>14.28435</v>
      </c>
      <c r="J53" s="164"/>
      <c r="K53" s="181"/>
      <c r="L53" s="164"/>
    </row>
    <row r="54" spans="1:12" s="93" customFormat="1" ht="18">
      <c r="A54" s="100" t="s">
        <v>1</v>
      </c>
      <c r="B54" s="124">
        <f>725.37+28.8</f>
        <v>754.17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</f>
        <v>535</v>
      </c>
      <c r="E54" s="104">
        <f>D54/D51*100</f>
        <v>2.505995653151465</v>
      </c>
      <c r="F54" s="104">
        <f t="shared" si="6"/>
        <v>70.93891297718021</v>
      </c>
      <c r="G54" s="104">
        <f t="shared" si="4"/>
        <v>48.92099487929774</v>
      </c>
      <c r="H54" s="102">
        <f t="shared" si="7"/>
        <v>219.16999999999996</v>
      </c>
      <c r="I54" s="102">
        <f t="shared" si="5"/>
        <v>558.5999999999999</v>
      </c>
      <c r="J54" s="164"/>
      <c r="K54" s="181"/>
      <c r="L54" s="164"/>
    </row>
    <row r="55" spans="1:12" s="93" customFormat="1" ht="18">
      <c r="A55" s="100" t="s">
        <v>0</v>
      </c>
      <c r="B55" s="124">
        <v>706.155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0.5+1+2.8+12.3+8.3+0.5+0.4+8.7+15+0.3+1.3+64.9+33.6+8.1+0.1+94.7+0.3+9.8+7.8+0.9+1.8+16.2+18.3+3.3+0.1+11.4+0.1+11.4+1.3+76.9+6.2+11.6+2.1+2.4+24+0.1+0.5+16.3+2.5+1.1+3.8+2.1+10.3+5.8+0.4+0.3+0.3+9.3+0.2+0.6+1.1-0.2+0.5+0.1+1+9.6+1.7+0.2</f>
        <v>526.0000000000002</v>
      </c>
      <c r="E55" s="104">
        <f>D55/D51*100</f>
        <v>2.4638387169302263</v>
      </c>
      <c r="F55" s="104">
        <f t="shared" si="6"/>
        <v>74.48789571694603</v>
      </c>
      <c r="G55" s="104">
        <f t="shared" si="4"/>
        <v>43.11828838429381</v>
      </c>
      <c r="H55" s="102">
        <f t="shared" si="7"/>
        <v>180.15499999999975</v>
      </c>
      <c r="I55" s="102">
        <f t="shared" si="5"/>
        <v>693.8999999999999</v>
      </c>
      <c r="J55" s="164"/>
      <c r="K55" s="181"/>
      <c r="L55" s="164"/>
    </row>
    <row r="56" spans="1:12" s="93" customFormat="1" ht="18">
      <c r="A56" s="100" t="s">
        <v>14</v>
      </c>
      <c r="B56" s="124">
        <v>990</v>
      </c>
      <c r="C56" s="125">
        <v>1320</v>
      </c>
      <c r="D56" s="125">
        <f>110+110+110+110+110+110+110+110</f>
        <v>880</v>
      </c>
      <c r="E56" s="104">
        <f>D56/D51*100</f>
        <v>4.1220115416323155</v>
      </c>
      <c r="F56" s="104">
        <f>D56/B56*100</f>
        <v>88.88888888888889</v>
      </c>
      <c r="G56" s="104">
        <f>D56/C56*100</f>
        <v>66.66666666666666</v>
      </c>
      <c r="H56" s="102">
        <f t="shared" si="7"/>
        <v>110</v>
      </c>
      <c r="I56" s="102">
        <f t="shared" si="5"/>
        <v>440</v>
      </c>
      <c r="J56" s="164"/>
      <c r="K56" s="181"/>
      <c r="L56" s="164"/>
    </row>
    <row r="57" spans="1:12" s="93" customFormat="1" ht="18.75" thickBot="1">
      <c r="A57" s="100" t="s">
        <v>27</v>
      </c>
      <c r="B57" s="125">
        <f>B51-B52-B55-B54-B53-B56</f>
        <v>10356.313649999996</v>
      </c>
      <c r="C57" s="125">
        <f>C51-C52-C55-C54-C53-C56</f>
        <v>13907.215649999996</v>
      </c>
      <c r="D57" s="125">
        <f>D51-D52-D55-D54-D53-D56</f>
        <v>6686.900000000003</v>
      </c>
      <c r="E57" s="104">
        <f>D57/D51*100</f>
        <v>31.32213520197858</v>
      </c>
      <c r="F57" s="104">
        <f t="shared" si="6"/>
        <v>64.56834184430099</v>
      </c>
      <c r="G57" s="104">
        <f t="shared" si="4"/>
        <v>48.08223420336482</v>
      </c>
      <c r="H57" s="102">
        <f>B57-D57</f>
        <v>3669.413649999993</v>
      </c>
      <c r="I57" s="102">
        <f>C57-D57</f>
        <v>7220.315649999993</v>
      </c>
      <c r="J57" s="164"/>
      <c r="K57" s="181"/>
      <c r="L57" s="164"/>
    </row>
    <row r="58" spans="1:12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6"/>
        <v>#DIV/0!</v>
      </c>
      <c r="G58" s="73" t="e">
        <f t="shared" si="4"/>
        <v>#DIV/0!</v>
      </c>
      <c r="H58" s="79">
        <f t="shared" si="7"/>
        <v>0</v>
      </c>
      <c r="I58" s="79">
        <f>C58-D58</f>
        <v>0</v>
      </c>
      <c r="J58" s="166"/>
      <c r="K58" s="181"/>
      <c r="L58" s="166"/>
    </row>
    <row r="59" spans="1:12" ht="18.75" thickBot="1">
      <c r="A59" s="20" t="s">
        <v>6</v>
      </c>
      <c r="B59" s="38">
        <v>8531.851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</f>
        <v>6786.400000000001</v>
      </c>
      <c r="E59" s="3">
        <f>D59/D154*100</f>
        <v>0.5024654599420326</v>
      </c>
      <c r="F59" s="3">
        <f>D59/B59*100</f>
        <v>79.54194230536844</v>
      </c>
      <c r="G59" s="3">
        <f t="shared" si="4"/>
        <v>70.71671216889315</v>
      </c>
      <c r="H59" s="40">
        <f>B59-D59</f>
        <v>1745.451</v>
      </c>
      <c r="I59" s="40">
        <f t="shared" si="5"/>
        <v>2810.2</v>
      </c>
      <c r="J59" s="164"/>
      <c r="K59" s="181"/>
      <c r="L59" s="164"/>
    </row>
    <row r="60" spans="1:12" s="93" customFormat="1" ht="18">
      <c r="A60" s="100" t="s">
        <v>3</v>
      </c>
      <c r="B60" s="124">
        <v>2353.518</v>
      </c>
      <c r="C60" s="125">
        <v>3119.7</v>
      </c>
      <c r="D60" s="102">
        <f>77.7+79.1+76.9+40.5+47.3+155.9+45+29.2+85.8+95.3+38.3+30.7+89.8+79.1+80.7+178.9+50.9+35.4+119.2+73+83.9+167.9+42.3+43+65+68.5+34.6+47.8</f>
        <v>2061.7000000000003</v>
      </c>
      <c r="E60" s="104">
        <f>D60/D59*100</f>
        <v>30.379877401862547</v>
      </c>
      <c r="F60" s="104">
        <f t="shared" si="6"/>
        <v>87.60077467008965</v>
      </c>
      <c r="G60" s="104">
        <f t="shared" si="4"/>
        <v>66.08648267461616</v>
      </c>
      <c r="H60" s="102">
        <f t="shared" si="7"/>
        <v>291.81799999999976</v>
      </c>
      <c r="I60" s="102">
        <f t="shared" si="5"/>
        <v>1057.9999999999995</v>
      </c>
      <c r="J60" s="164"/>
      <c r="K60" s="181"/>
      <c r="L60" s="164"/>
    </row>
    <row r="61" spans="1:12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5.76299658139809</v>
      </c>
      <c r="F61" s="104">
        <f>D61/B61*100</f>
        <v>99.49122360722463</v>
      </c>
      <c r="G61" s="104">
        <f t="shared" si="4"/>
        <v>99.49122360722464</v>
      </c>
      <c r="H61" s="102">
        <f t="shared" si="7"/>
        <v>2</v>
      </c>
      <c r="I61" s="102">
        <f t="shared" si="5"/>
        <v>1.9999999999999432</v>
      </c>
      <c r="J61" s="164"/>
      <c r="K61" s="181"/>
      <c r="L61" s="164"/>
    </row>
    <row r="62" spans="1:12" s="93" customFormat="1" ht="18">
      <c r="A62" s="100" t="s">
        <v>0</v>
      </c>
      <c r="B62" s="124">
        <v>248.915</v>
      </c>
      <c r="C62" s="125">
        <v>393.7</v>
      </c>
      <c r="D62" s="102">
        <f>10.9+43.2+13-3+39.2+5.7+50.2+3.5+0.2+29.7+2.5+1.8+22+0.1+0.7+2.1+0.1+0.1+2.2+0.1+0.1+2.1+1.2+0.5</f>
        <v>228.1999999999999</v>
      </c>
      <c r="E62" s="104">
        <f>D62/D59*100</f>
        <v>3.3626075680773297</v>
      </c>
      <c r="F62" s="104">
        <f t="shared" si="6"/>
        <v>91.67788200791432</v>
      </c>
      <c r="G62" s="104">
        <f t="shared" si="4"/>
        <v>57.96291592583182</v>
      </c>
      <c r="H62" s="102">
        <f t="shared" si="7"/>
        <v>20.71500000000009</v>
      </c>
      <c r="I62" s="102">
        <f t="shared" si="5"/>
        <v>165.50000000000009</v>
      </c>
      <c r="J62" s="164"/>
      <c r="K62" s="181"/>
      <c r="L62" s="164"/>
    </row>
    <row r="63" spans="1:12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52.80266415183308</v>
      </c>
      <c r="F63" s="104">
        <f t="shared" si="6"/>
        <v>73.63251551391114</v>
      </c>
      <c r="G63" s="104">
        <f t="shared" si="4"/>
        <v>73.63251551391114</v>
      </c>
      <c r="H63" s="102">
        <f t="shared" si="7"/>
        <v>1283.2000000000003</v>
      </c>
      <c r="I63" s="102">
        <f t="shared" si="5"/>
        <v>1283.2000000000003</v>
      </c>
      <c r="J63" s="164"/>
      <c r="K63" s="181"/>
      <c r="L63" s="164"/>
    </row>
    <row r="64" spans="1:12" s="93" customFormat="1" ht="18.75" thickBot="1">
      <c r="A64" s="100" t="s">
        <v>27</v>
      </c>
      <c r="B64" s="125">
        <f>B59-B60-B62-B63-B61</f>
        <v>669.7180000000002</v>
      </c>
      <c r="C64" s="125">
        <f>C59-C60-C62-C63-C61</f>
        <v>823.5000000000005</v>
      </c>
      <c r="D64" s="125">
        <f>D59-D60-D62-D63-D61</f>
        <v>522.0000000000008</v>
      </c>
      <c r="E64" s="104">
        <f>D64/D59*100</f>
        <v>7.691854296828963</v>
      </c>
      <c r="F64" s="104">
        <f t="shared" si="6"/>
        <v>77.94325372768847</v>
      </c>
      <c r="G64" s="104">
        <f t="shared" si="4"/>
        <v>63.38797814207656</v>
      </c>
      <c r="H64" s="102">
        <f t="shared" si="7"/>
        <v>147.7179999999994</v>
      </c>
      <c r="I64" s="102">
        <f t="shared" si="5"/>
        <v>301.49999999999966</v>
      </c>
      <c r="J64" s="164"/>
      <c r="K64" s="181"/>
      <c r="L64" s="164"/>
    </row>
    <row r="65" spans="1:12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7"/>
        <v>0</v>
      </c>
      <c r="I65" s="79">
        <f t="shared" si="5"/>
        <v>0</v>
      </c>
      <c r="J65" s="166"/>
      <c r="K65" s="181"/>
      <c r="L65" s="166"/>
    </row>
    <row r="66" spans="1:12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6"/>
        <v>#DIV/0!</v>
      </c>
      <c r="G66" s="73" t="e">
        <f t="shared" si="4"/>
        <v>#DIV/0!</v>
      </c>
      <c r="H66" s="79">
        <f t="shared" si="7"/>
        <v>0</v>
      </c>
      <c r="I66" s="79">
        <f t="shared" si="5"/>
        <v>0</v>
      </c>
      <c r="J66" s="166"/>
      <c r="K66" s="181"/>
      <c r="L66" s="166"/>
    </row>
    <row r="67" spans="1:12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6"/>
        <v>#DIV/0!</v>
      </c>
      <c r="G67" s="73" t="e">
        <f t="shared" si="4"/>
        <v>#DIV/0!</v>
      </c>
      <c r="H67" s="79">
        <f t="shared" si="7"/>
        <v>0</v>
      </c>
      <c r="I67" s="79">
        <f t="shared" si="5"/>
        <v>0</v>
      </c>
      <c r="J67" s="166"/>
      <c r="K67" s="181"/>
      <c r="L67" s="166"/>
    </row>
    <row r="68" spans="1:12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6"/>
        <v>#DIV/0!</v>
      </c>
      <c r="G68" s="73" t="e">
        <f t="shared" si="4"/>
        <v>#DIV/0!</v>
      </c>
      <c r="H68" s="79">
        <f t="shared" si="7"/>
        <v>0</v>
      </c>
      <c r="I68" s="79">
        <f t="shared" si="5"/>
        <v>0</v>
      </c>
      <c r="J68" s="166"/>
      <c r="K68" s="181"/>
      <c r="L68" s="166"/>
    </row>
    <row r="69" spans="1:12" ht="18.75" thickBot="1">
      <c r="A69" s="20" t="s">
        <v>20</v>
      </c>
      <c r="B69" s="39">
        <f>B70+B71</f>
        <v>363.336</v>
      </c>
      <c r="C69" s="39">
        <f>C70+C71</f>
        <v>418</v>
      </c>
      <c r="D69" s="40">
        <f>D70+D71</f>
        <v>227</v>
      </c>
      <c r="E69" s="30">
        <f>D69/D154*100</f>
        <v>0.016807093511558617</v>
      </c>
      <c r="F69" s="3">
        <f>D69/B69*100</f>
        <v>62.476605676288614</v>
      </c>
      <c r="G69" s="3">
        <f t="shared" si="4"/>
        <v>54.30622009569378</v>
      </c>
      <c r="H69" s="40">
        <f>B69-D69</f>
        <v>136.336</v>
      </c>
      <c r="I69" s="40">
        <f t="shared" si="5"/>
        <v>191</v>
      </c>
      <c r="J69" s="164"/>
      <c r="K69" s="181"/>
      <c r="L69" s="164"/>
    </row>
    <row r="70" spans="1:12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6"/>
        <v>100.01630221666088</v>
      </c>
      <c r="G70" s="104">
        <f t="shared" si="4"/>
        <v>99.73637961335677</v>
      </c>
      <c r="H70" s="102">
        <f t="shared" si="7"/>
        <v>-0.03700000000000614</v>
      </c>
      <c r="I70" s="102">
        <f t="shared" si="5"/>
        <v>0.5999999999999943</v>
      </c>
      <c r="J70" s="164"/>
      <c r="K70" s="181"/>
      <c r="L70" s="164"/>
    </row>
    <row r="71" spans="1:12" s="93" customFormat="1" ht="18.75" thickBot="1">
      <c r="A71" s="100" t="s">
        <v>9</v>
      </c>
      <c r="B71" s="124">
        <f>157.273-20.9</f>
        <v>136.373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6"/>
        <v>0</v>
      </c>
      <c r="G71" s="104">
        <f t="shared" si="4"/>
        <v>0</v>
      </c>
      <c r="H71" s="102">
        <f t="shared" si="7"/>
        <v>136.373</v>
      </c>
      <c r="I71" s="102">
        <f t="shared" si="5"/>
        <v>190.4</v>
      </c>
      <c r="J71" s="164"/>
      <c r="K71" s="181"/>
      <c r="L71" s="164"/>
    </row>
    <row r="72" spans="1:12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4"/>
        <v>#DIV/0!</v>
      </c>
      <c r="H72" s="40">
        <f>B72-D72</f>
        <v>0</v>
      </c>
      <c r="I72" s="40">
        <f t="shared" si="5"/>
        <v>0</v>
      </c>
      <c r="J72" s="164"/>
      <c r="K72" s="181"/>
      <c r="L72" s="164"/>
    </row>
    <row r="73" spans="1:12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7">
        <f t="shared" si="7"/>
        <v>0</v>
      </c>
      <c r="I73" s="37">
        <f t="shared" si="5"/>
        <v>0</v>
      </c>
      <c r="J73" s="164"/>
      <c r="K73" s="181"/>
      <c r="L73" s="164"/>
    </row>
    <row r="74" spans="1:12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7">
        <f t="shared" si="7"/>
        <v>0</v>
      </c>
      <c r="I74" s="37">
        <f t="shared" si="5"/>
        <v>0</v>
      </c>
      <c r="J74" s="164"/>
      <c r="K74" s="181"/>
      <c r="L74" s="164"/>
    </row>
    <row r="75" spans="1:12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4"/>
        <v>#DIV/0!</v>
      </c>
      <c r="H75" s="37"/>
      <c r="I75" s="37">
        <f t="shared" si="5"/>
        <v>0</v>
      </c>
      <c r="J75" s="164"/>
      <c r="K75" s="181"/>
      <c r="L75" s="164"/>
    </row>
    <row r="76" spans="1:12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4"/>
        <v>#DIV/0!</v>
      </c>
      <c r="H76" s="37"/>
      <c r="I76" s="37">
        <f t="shared" si="5"/>
        <v>0</v>
      </c>
      <c r="J76" s="164"/>
      <c r="K76" s="181"/>
      <c r="L76" s="164"/>
    </row>
    <row r="77" spans="1:12" s="32" customFormat="1" ht="19.5" thickBot="1">
      <c r="A77" s="23" t="s">
        <v>13</v>
      </c>
      <c r="B77" s="46">
        <v>560</v>
      </c>
      <c r="C77" s="53">
        <f>17000-13500-1000</f>
        <v>2500</v>
      </c>
      <c r="D77" s="54"/>
      <c r="E77" s="34"/>
      <c r="F77" s="34"/>
      <c r="G77" s="34"/>
      <c r="H77" s="54">
        <f>B77-D77</f>
        <v>560</v>
      </c>
      <c r="I77" s="54">
        <f t="shared" si="5"/>
        <v>2500</v>
      </c>
      <c r="J77" s="166"/>
      <c r="K77" s="181"/>
      <c r="L77" s="166"/>
    </row>
    <row r="78" spans="1:12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4"/>
      <c r="K78" s="181"/>
      <c r="L78" s="164"/>
    </row>
    <row r="79" spans="1:12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0">
        <f>B79-D79</f>
        <v>0</v>
      </c>
      <c r="I79" s="40">
        <f aca="true" t="shared" si="9" ref="I79:I93">C79-D79</f>
        <v>0</v>
      </c>
      <c r="J79" s="164"/>
      <c r="K79" s="181"/>
      <c r="L79" s="164"/>
    </row>
    <row r="80" spans="1:12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8"/>
        <v>#DIV/0!</v>
      </c>
      <c r="H80" s="37">
        <f>B80-D80</f>
        <v>0</v>
      </c>
      <c r="I80" s="37">
        <f t="shared" si="9"/>
        <v>0</v>
      </c>
      <c r="J80" s="168"/>
      <c r="K80" s="181"/>
      <c r="L80" s="168"/>
    </row>
    <row r="81" spans="1:12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8"/>
        <v>#DIV/0!</v>
      </c>
      <c r="H81" s="37">
        <f>B81-D81</f>
        <v>0</v>
      </c>
      <c r="I81" s="37">
        <f t="shared" si="9"/>
        <v>0</v>
      </c>
      <c r="J81" s="168"/>
      <c r="K81" s="181"/>
      <c r="L81" s="168"/>
    </row>
    <row r="82" spans="1:12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8"/>
        <v>#DIV/0!</v>
      </c>
      <c r="H82" s="37"/>
      <c r="I82" s="37">
        <f t="shared" si="9"/>
        <v>0</v>
      </c>
      <c r="J82" s="168"/>
      <c r="K82" s="181"/>
      <c r="L82" s="168"/>
    </row>
    <row r="83" spans="1:12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8"/>
        <v>#DIV/0!</v>
      </c>
      <c r="H83" s="37"/>
      <c r="I83" s="37">
        <f t="shared" si="9"/>
        <v>0</v>
      </c>
      <c r="J83" s="168"/>
      <c r="K83" s="181"/>
      <c r="L83" s="168"/>
    </row>
    <row r="84" spans="1:12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8"/>
        <v>#DIV/0!</v>
      </c>
      <c r="H84" s="40"/>
      <c r="I84" s="40">
        <f t="shared" si="9"/>
        <v>0</v>
      </c>
      <c r="J84" s="164"/>
      <c r="K84" s="181"/>
      <c r="L84" s="164"/>
    </row>
    <row r="85" spans="1:12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8"/>
        <v>#DIV/0!</v>
      </c>
      <c r="H85" s="52"/>
      <c r="I85" s="37">
        <f t="shared" si="9"/>
        <v>0</v>
      </c>
      <c r="J85" s="164"/>
      <c r="K85" s="181"/>
      <c r="L85" s="164"/>
    </row>
    <row r="86" spans="1:12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8"/>
        <v>#DIV/0!</v>
      </c>
      <c r="H86" s="52"/>
      <c r="I86" s="37">
        <f t="shared" si="9"/>
        <v>0</v>
      </c>
      <c r="J86" s="164"/>
      <c r="K86" s="181"/>
      <c r="L86" s="164"/>
    </row>
    <row r="87" spans="1:12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8"/>
        <v>#DIV/0!</v>
      </c>
      <c r="H87" s="40"/>
      <c r="I87" s="40">
        <f t="shared" si="9"/>
        <v>0</v>
      </c>
      <c r="J87" s="164"/>
      <c r="K87" s="181"/>
      <c r="L87" s="164"/>
    </row>
    <row r="88" spans="1:12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8"/>
        <v>#DIV/0!</v>
      </c>
      <c r="H88" s="37"/>
      <c r="I88" s="37">
        <f t="shared" si="9"/>
        <v>0</v>
      </c>
      <c r="J88" s="164"/>
      <c r="K88" s="181"/>
      <c r="L88" s="164"/>
    </row>
    <row r="89" spans="1:12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8"/>
        <v>#DIV/0!</v>
      </c>
      <c r="H89" s="37"/>
      <c r="I89" s="37">
        <f t="shared" si="9"/>
        <v>0</v>
      </c>
      <c r="J89" s="164"/>
      <c r="K89" s="181"/>
      <c r="L89" s="164"/>
    </row>
    <row r="90" spans="1:12" ht="19.5" thickBot="1">
      <c r="A90" s="12" t="s">
        <v>10</v>
      </c>
      <c r="B90" s="45">
        <f>160227.7+352</f>
        <v>160579.7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</f>
        <v>146273.29999999993</v>
      </c>
      <c r="E90" s="3">
        <f>D90/D154*100</f>
        <v>10.830083838520995</v>
      </c>
      <c r="F90" s="3">
        <f aca="true" t="shared" si="10" ref="F90:F96">D90/B90*100</f>
        <v>91.09077922053655</v>
      </c>
      <c r="G90" s="3">
        <f t="shared" si="8"/>
        <v>71.68320140824636</v>
      </c>
      <c r="H90" s="40">
        <f aca="true" t="shared" si="11" ref="H90:H96">B90-D90</f>
        <v>14306.400000000081</v>
      </c>
      <c r="I90" s="40">
        <f t="shared" si="9"/>
        <v>57781.90000000008</v>
      </c>
      <c r="J90" s="164"/>
      <c r="K90" s="181"/>
      <c r="L90" s="164"/>
    </row>
    <row r="91" spans="1:12" s="93" customFormat="1" ht="21.75" customHeight="1">
      <c r="A91" s="100" t="s">
        <v>3</v>
      </c>
      <c r="B91" s="124">
        <v>150150.2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</f>
        <v>138185.91</v>
      </c>
      <c r="E91" s="104">
        <f>D91/D90*100</f>
        <v>94.47104153663045</v>
      </c>
      <c r="F91" s="104">
        <f t="shared" si="10"/>
        <v>92.0317855054472</v>
      </c>
      <c r="G91" s="104">
        <f t="shared" si="8"/>
        <v>72.74730683804916</v>
      </c>
      <c r="H91" s="102">
        <f t="shared" si="11"/>
        <v>11964.290000000008</v>
      </c>
      <c r="I91" s="102">
        <f t="shared" si="9"/>
        <v>51767.389999999985</v>
      </c>
      <c r="K91" s="181"/>
      <c r="L91" s="164"/>
    </row>
    <row r="92" spans="1:12" s="93" customFormat="1" ht="18">
      <c r="A92" s="100" t="s">
        <v>25</v>
      </c>
      <c r="B92" s="124">
        <v>1831.275</v>
      </c>
      <c r="C92" s="125">
        <v>2776.4</v>
      </c>
      <c r="D92" s="102">
        <f>57.2+3.4+167+1.4+0.3+83.4+86.9+53.1+5.3+4.7+17+71.3+284.2+22.2+4.8+1.6+54.8+7+38.2+1.9+190+51.9+21+0.9+36.9+5.5+20.1+0.9+46.6+43.3-17.3+22+2.1+65.9+0.7+4.5+1+37</f>
        <v>1498.7000000000003</v>
      </c>
      <c r="E92" s="104">
        <f>D92/D90*100</f>
        <v>1.0245889031012503</v>
      </c>
      <c r="F92" s="104">
        <f t="shared" si="10"/>
        <v>81.8391557794433</v>
      </c>
      <c r="G92" s="104">
        <f t="shared" si="8"/>
        <v>53.979974067137306</v>
      </c>
      <c r="H92" s="102">
        <f t="shared" si="11"/>
        <v>332.5749999999998</v>
      </c>
      <c r="I92" s="102">
        <f t="shared" si="9"/>
        <v>1277.6999999999998</v>
      </c>
      <c r="K92" s="181"/>
      <c r="L92" s="164"/>
    </row>
    <row r="93" spans="1:12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8"/>
        <v>#DIV/0!</v>
      </c>
      <c r="H93" s="102">
        <f t="shared" si="11"/>
        <v>0</v>
      </c>
      <c r="I93" s="102">
        <f t="shared" si="9"/>
        <v>0</v>
      </c>
      <c r="K93" s="181"/>
      <c r="L93" s="164"/>
    </row>
    <row r="94" spans="1:12" s="93" customFormat="1" ht="18.75" thickBot="1">
      <c r="A94" s="100" t="s">
        <v>27</v>
      </c>
      <c r="B94" s="125">
        <f>B90-B91-B92-B93</f>
        <v>8598.225</v>
      </c>
      <c r="C94" s="125">
        <f>C90-C91-C92-C93</f>
        <v>11325.500000000024</v>
      </c>
      <c r="D94" s="125">
        <f>D90-D91-D92-D93</f>
        <v>6588.689999999926</v>
      </c>
      <c r="E94" s="104">
        <f>D94/D90*100</f>
        <v>4.504369560268299</v>
      </c>
      <c r="F94" s="104">
        <f t="shared" si="10"/>
        <v>76.62849018256588</v>
      </c>
      <c r="G94" s="104">
        <f>D94/C94*100</f>
        <v>58.17570968169098</v>
      </c>
      <c r="H94" s="102">
        <f t="shared" si="11"/>
        <v>2009.5350000000744</v>
      </c>
      <c r="I94" s="102">
        <f>C94-D94</f>
        <v>4736.810000000098</v>
      </c>
      <c r="K94" s="181"/>
      <c r="L94" s="164"/>
    </row>
    <row r="95" spans="1:12" ht="18.75">
      <c r="A95" s="82" t="s">
        <v>12</v>
      </c>
      <c r="B95" s="91">
        <f>36331.62579-1414.2</f>
        <v>34917.42579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</f>
        <v>27997.2</v>
      </c>
      <c r="E95" s="81">
        <f>D95/D154*100</f>
        <v>2.072914354457308</v>
      </c>
      <c r="F95" s="83">
        <f t="shared" si="10"/>
        <v>80.18116847553554</v>
      </c>
      <c r="G95" s="80">
        <f>D95/C95*100</f>
        <v>32.053470535907486</v>
      </c>
      <c r="H95" s="84">
        <f t="shared" si="11"/>
        <v>6920.22579</v>
      </c>
      <c r="I95" s="87">
        <f>C95-D95</f>
        <v>59348.100000000006</v>
      </c>
      <c r="J95" s="164"/>
      <c r="K95" s="181"/>
      <c r="L95" s="164"/>
    </row>
    <row r="96" spans="1:12" s="93" customFormat="1" ht="18.75" thickBot="1">
      <c r="A96" s="127" t="s">
        <v>83</v>
      </c>
      <c r="B96" s="128">
        <v>8980.18364</v>
      </c>
      <c r="C96" s="129">
        <v>12814.2</v>
      </c>
      <c r="D96" s="130">
        <f>194.6+1234+3.4+0.5+79.6+1026.4+0.7+86.4+939.3+4.2+87.7+624.7+8+489.4+90.3+1.9+597.9+5.5+67.2+2.1+31.9+0.2+90.5+32.4+530.2+66+90.3+454.6+5.4+212.8+729.6+32.4+38.7+3.5+1</f>
        <v>7863.299999999997</v>
      </c>
      <c r="E96" s="131">
        <f>D96/D95*100</f>
        <v>28.086022888003075</v>
      </c>
      <c r="F96" s="132">
        <f t="shared" si="10"/>
        <v>87.56279732381952</v>
      </c>
      <c r="G96" s="133">
        <f>D96/C96*100</f>
        <v>61.3639556117432</v>
      </c>
      <c r="H96" s="134">
        <f t="shared" si="11"/>
        <v>1116.8836400000018</v>
      </c>
      <c r="I96" s="123">
        <f>C96-D96</f>
        <v>4950.900000000003</v>
      </c>
      <c r="J96" s="164"/>
      <c r="K96" s="181"/>
      <c r="L96" s="164"/>
    </row>
    <row r="97" spans="1:12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4"/>
      <c r="K97" s="181"/>
      <c r="L97" s="164"/>
    </row>
    <row r="98" spans="1:12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4"/>
      <c r="K98" s="181"/>
      <c r="L98" s="164"/>
    </row>
    <row r="99" spans="1:12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4"/>
      <c r="K99" s="181"/>
      <c r="L99" s="164"/>
    </row>
    <row r="100" spans="1:12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5"/>
      <c r="K100" s="181"/>
      <c r="L100" s="165"/>
    </row>
    <row r="101" spans="1:12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4"/>
      <c r="K101" s="181"/>
      <c r="L101" s="164"/>
    </row>
    <row r="102" spans="1:12" s="32" customFormat="1" ht="19.5" thickBot="1">
      <c r="A102" s="12" t="s">
        <v>11</v>
      </c>
      <c r="B102" s="90">
        <f>10766.55742+10.6</f>
        <v>10777.15742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</f>
        <v>8867.8</v>
      </c>
      <c r="E102" s="17">
        <f>D102/D154*100</f>
        <v>0.6565724398317158</v>
      </c>
      <c r="F102" s="17">
        <f>D102/B102*100</f>
        <v>82.2832928425388</v>
      </c>
      <c r="G102" s="17">
        <f aca="true" t="shared" si="12" ref="G102:G152">D102/C102*100</f>
        <v>63.75950877899368</v>
      </c>
      <c r="H102" s="65">
        <f aca="true" t="shared" si="13" ref="H102:H108">B102-D102</f>
        <v>1909.3574200000003</v>
      </c>
      <c r="I102" s="65">
        <f aca="true" t="shared" si="14" ref="I102:I152">C102-D102</f>
        <v>5040.4000000000015</v>
      </c>
      <c r="J102" s="166"/>
      <c r="K102" s="181"/>
      <c r="L102" s="166"/>
    </row>
    <row r="103" spans="1:12" s="93" customFormat="1" ht="18.75" customHeight="1">
      <c r="A103" s="100" t="s">
        <v>3</v>
      </c>
      <c r="B103" s="116">
        <v>254.625</v>
      </c>
      <c r="C103" s="117">
        <v>363.8</v>
      </c>
      <c r="D103" s="117">
        <f>31.2+4.8+33.9+5.2+30.9+10.3+19.9+19.5+19.7</f>
        <v>175.39999999999998</v>
      </c>
      <c r="E103" s="118">
        <f>D103/D102*100</f>
        <v>1.9779426689821602</v>
      </c>
      <c r="F103" s="104">
        <f>D103/B103*100</f>
        <v>68.88561610211093</v>
      </c>
      <c r="G103" s="118">
        <f>D103/C103*100</f>
        <v>48.213304013194055</v>
      </c>
      <c r="H103" s="117">
        <f t="shared" si="13"/>
        <v>79.22500000000002</v>
      </c>
      <c r="I103" s="117">
        <f t="shared" si="14"/>
        <v>188.40000000000003</v>
      </c>
      <c r="J103" s="164"/>
      <c r="K103" s="181"/>
      <c r="L103" s="164"/>
    </row>
    <row r="104" spans="1:12" s="93" customFormat="1" ht="18">
      <c r="A104" s="119" t="s">
        <v>48</v>
      </c>
      <c r="B104" s="101">
        <f>8759.57164+50.6</f>
        <v>8810.17164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</f>
        <v>7770.000000000002</v>
      </c>
      <c r="E104" s="104">
        <f>D104/D102*100</f>
        <v>87.62037935000792</v>
      </c>
      <c r="F104" s="104">
        <f aca="true" t="shared" si="15" ref="F104:F152">D104/B104*100</f>
        <v>88.19351446823799</v>
      </c>
      <c r="G104" s="104">
        <f t="shared" si="12"/>
        <v>73.1369835935956</v>
      </c>
      <c r="H104" s="102">
        <f t="shared" si="13"/>
        <v>1040.1716399999987</v>
      </c>
      <c r="I104" s="102">
        <f t="shared" si="14"/>
        <v>2853.899999999998</v>
      </c>
      <c r="J104" s="164"/>
      <c r="K104" s="181"/>
      <c r="L104" s="164"/>
    </row>
    <row r="105" spans="1:12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3"/>
        <v>0</v>
      </c>
      <c r="I105" s="123">
        <f>C105-D105</f>
        <v>0</v>
      </c>
      <c r="J105" s="164"/>
      <c r="K105" s="181"/>
      <c r="L105" s="164"/>
    </row>
    <row r="106" spans="1:12" s="93" customFormat="1" ht="18.75" thickBot="1">
      <c r="A106" s="120" t="s">
        <v>27</v>
      </c>
      <c r="B106" s="121">
        <f>B102-B103-B104</f>
        <v>1712.360779999999</v>
      </c>
      <c r="C106" s="121">
        <f>C102-C103-C104</f>
        <v>2920.500000000002</v>
      </c>
      <c r="D106" s="121">
        <f>D102-D103-D104</f>
        <v>922.3999999999978</v>
      </c>
      <c r="E106" s="122">
        <f>D106/D102*100</f>
        <v>10.401677981009923</v>
      </c>
      <c r="F106" s="122">
        <f t="shared" si="15"/>
        <v>53.867152925565044</v>
      </c>
      <c r="G106" s="122">
        <f t="shared" si="12"/>
        <v>31.58363293956505</v>
      </c>
      <c r="H106" s="123">
        <f t="shared" si="13"/>
        <v>789.9607800000013</v>
      </c>
      <c r="I106" s="123">
        <f t="shared" si="14"/>
        <v>1998.100000000004</v>
      </c>
      <c r="J106" s="164"/>
      <c r="K106" s="181"/>
      <c r="L106" s="164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410336.57267999987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302971.69999999995</v>
      </c>
      <c r="E107" s="68">
        <f>D107/D154*100</f>
        <v>22.432042701567767</v>
      </c>
      <c r="F107" s="68">
        <f>D107/B107*100</f>
        <v>73.83492483285711</v>
      </c>
      <c r="G107" s="68">
        <f t="shared" si="12"/>
        <v>52.45058883449446</v>
      </c>
      <c r="H107" s="67">
        <f t="shared" si="13"/>
        <v>107364.87267999991</v>
      </c>
      <c r="I107" s="67">
        <f t="shared" si="14"/>
        <v>274660.8999999999</v>
      </c>
      <c r="J107" s="162"/>
      <c r="K107" s="181"/>
      <c r="L107" s="183"/>
    </row>
    <row r="108" spans="1:12" s="93" customFormat="1" ht="37.5">
      <c r="A108" s="96" t="s">
        <v>52</v>
      </c>
      <c r="B108" s="158">
        <v>2850.821</v>
      </c>
      <c r="C108" s="155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17.1+81.1+17.3+60.5+173.3+3.4+2+0.4+29.3+1.7+177.1+0.8+38.8+139.8+0.3+1.9+1.8+6.5+136+91.3+0.1+1.8+1.1+2.4+3.5+2+3.4+72.2+73.1+42.5+21.2+13.2+0.2+17.6-34.7+31.4+109.2+11.6+31.6+1.8+1.8+136.5+26+0.7+9.8+16+6.4+2.3+33+154.5+0.1-4.6+4.8+5+167.7+2.4+2.4+1.7</f>
        <v>1952.0999999999997</v>
      </c>
      <c r="E108" s="98">
        <f>D108/D107*100</f>
        <v>0.64431760458155</v>
      </c>
      <c r="F108" s="98">
        <f t="shared" si="15"/>
        <v>68.47501123360603</v>
      </c>
      <c r="G108" s="98">
        <f t="shared" si="12"/>
        <v>43.778874187037445</v>
      </c>
      <c r="H108" s="99">
        <f t="shared" si="13"/>
        <v>898.7210000000002</v>
      </c>
      <c r="I108" s="99">
        <f t="shared" si="14"/>
        <v>2506.9000000000005</v>
      </c>
      <c r="K108" s="181"/>
      <c r="L108" s="183"/>
    </row>
    <row r="109" spans="1:12" s="93" customFormat="1" ht="18.75">
      <c r="A109" s="100" t="s">
        <v>25</v>
      </c>
      <c r="B109" s="101">
        <v>1232.161</v>
      </c>
      <c r="C109" s="102">
        <v>1995</v>
      </c>
      <c r="D109" s="103">
        <f>47.8+0.9+59.7+88.3+0.1+59.2+38.8+107.4+24+91.1+38+42.5+2+31.4+47.6+36.5-21.6+46.3+2.4</f>
        <v>742.4</v>
      </c>
      <c r="E109" s="104">
        <f>D109/D108*100</f>
        <v>38.03083858408893</v>
      </c>
      <c r="F109" s="104">
        <f t="shared" si="15"/>
        <v>60.25186643628552</v>
      </c>
      <c r="G109" s="104">
        <f t="shared" si="12"/>
        <v>37.21303258145363</v>
      </c>
      <c r="H109" s="102">
        <f aca="true" t="shared" si="16" ref="H109:H152">B109-D109</f>
        <v>489.7610000000001</v>
      </c>
      <c r="I109" s="102">
        <f t="shared" si="14"/>
        <v>1252.6</v>
      </c>
      <c r="K109" s="181"/>
      <c r="L109" s="183"/>
    </row>
    <row r="110" spans="1:12" s="93" customFormat="1" ht="34.5" customHeight="1" hidden="1">
      <c r="A110" s="105" t="s">
        <v>78</v>
      </c>
      <c r="B110" s="15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2"/>
        <v>#DIV/0!</v>
      </c>
      <c r="H110" s="99">
        <f t="shared" si="16"/>
        <v>0</v>
      </c>
      <c r="I110" s="99">
        <f t="shared" si="14"/>
        <v>0</v>
      </c>
      <c r="K110" s="181"/>
      <c r="L110" s="183"/>
    </row>
    <row r="111" spans="1:12" s="94" customFormat="1" ht="34.5" customHeight="1">
      <c r="A111" s="105" t="s">
        <v>93</v>
      </c>
      <c r="B111" s="159">
        <v>155.434</v>
      </c>
      <c r="C111" s="106">
        <v>200</v>
      </c>
      <c r="D111" s="107"/>
      <c r="E111" s="98">
        <f>D111/D107*100</f>
        <v>0</v>
      </c>
      <c r="F111" s="108">
        <f t="shared" si="15"/>
        <v>0</v>
      </c>
      <c r="G111" s="98">
        <f t="shared" si="12"/>
        <v>0</v>
      </c>
      <c r="H111" s="99">
        <f t="shared" si="16"/>
        <v>155.434</v>
      </c>
      <c r="I111" s="99">
        <f t="shared" si="14"/>
        <v>200</v>
      </c>
      <c r="K111" s="181"/>
      <c r="L111" s="183"/>
    </row>
    <row r="112" spans="1:12" s="93" customFormat="1" ht="18.75" hidden="1">
      <c r="A112" s="100" t="s">
        <v>25</v>
      </c>
      <c r="B112" s="156"/>
      <c r="C112" s="102"/>
      <c r="D112" s="103"/>
      <c r="E112" s="104"/>
      <c r="F112" s="104" t="e">
        <f t="shared" si="15"/>
        <v>#DIV/0!</v>
      </c>
      <c r="G112" s="104" t="e">
        <f t="shared" si="12"/>
        <v>#DIV/0!</v>
      </c>
      <c r="H112" s="102">
        <f t="shared" si="16"/>
        <v>0</v>
      </c>
      <c r="I112" s="102">
        <f t="shared" si="14"/>
        <v>0</v>
      </c>
      <c r="K112" s="181"/>
      <c r="L112" s="183"/>
    </row>
    <row r="113" spans="1:12" s="93" customFormat="1" ht="18.75">
      <c r="A113" s="105" t="s">
        <v>89</v>
      </c>
      <c r="B113" s="159">
        <v>64.296</v>
      </c>
      <c r="C113" s="99">
        <v>64.3</v>
      </c>
      <c r="D113" s="97">
        <f>6.8+7+3.6</f>
        <v>17.400000000000002</v>
      </c>
      <c r="E113" s="98">
        <f>D113/D107*100</f>
        <v>0.005743110660170572</v>
      </c>
      <c r="F113" s="98">
        <f t="shared" si="15"/>
        <v>27.062336692795817</v>
      </c>
      <c r="G113" s="98">
        <f t="shared" si="12"/>
        <v>27.06065318818041</v>
      </c>
      <c r="H113" s="99">
        <f t="shared" si="16"/>
        <v>46.896</v>
      </c>
      <c r="I113" s="99">
        <f t="shared" si="14"/>
        <v>46.89999999999999</v>
      </c>
      <c r="K113" s="181"/>
      <c r="L113" s="183"/>
    </row>
    <row r="114" spans="1:12" s="93" customFormat="1" ht="37.5">
      <c r="A114" s="105" t="s">
        <v>38</v>
      </c>
      <c r="B114" s="159">
        <v>2513.331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136.4+10+40+6.6+6.1+0.2+177.4+10+1.8+25.1+29.4+48.1+8.1+193.1+10+0.1+17.8+8.8+132.4+79.7+12.6+4.3+3.5+212.4+8.1+0.4+10.8+218.3+5.3+16.4+166.6+54.3+12.8+52.1+1.1+0.2+214.8+15.7+3.7</f>
        <v>1954.4999999999998</v>
      </c>
      <c r="E114" s="98">
        <f>D114/D107*100</f>
        <v>0.6451097577760564</v>
      </c>
      <c r="F114" s="98">
        <f t="shared" si="15"/>
        <v>77.76532418531423</v>
      </c>
      <c r="G114" s="98">
        <f t="shared" si="12"/>
        <v>59.02159142382606</v>
      </c>
      <c r="H114" s="99">
        <f t="shared" si="16"/>
        <v>558.8310000000004</v>
      </c>
      <c r="I114" s="99">
        <f t="shared" si="14"/>
        <v>1357.0000000000002</v>
      </c>
      <c r="K114" s="181"/>
      <c r="L114" s="183"/>
    </row>
    <row r="115" spans="1:12" s="93" customFormat="1" ht="18.75" hidden="1">
      <c r="A115" s="109" t="s">
        <v>43</v>
      </c>
      <c r="B115" s="156"/>
      <c r="C115" s="102"/>
      <c r="D115" s="103"/>
      <c r="E115" s="98"/>
      <c r="F115" s="98" t="e">
        <f t="shared" si="15"/>
        <v>#DIV/0!</v>
      </c>
      <c r="G115" s="104" t="e">
        <f t="shared" si="12"/>
        <v>#DIV/0!</v>
      </c>
      <c r="H115" s="102">
        <f t="shared" si="16"/>
        <v>0</v>
      </c>
      <c r="I115" s="102">
        <f t="shared" si="14"/>
        <v>0</v>
      </c>
      <c r="K115" s="181"/>
      <c r="L115" s="183"/>
    </row>
    <row r="116" spans="1:12" s="94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8" t="e">
        <f t="shared" si="15"/>
        <v>#DIV/0!</v>
      </c>
      <c r="G116" s="110" t="e">
        <f t="shared" si="12"/>
        <v>#DIV/0!</v>
      </c>
      <c r="H116" s="106">
        <f t="shared" si="16"/>
        <v>0</v>
      </c>
      <c r="I116" s="106">
        <f t="shared" si="14"/>
        <v>0</v>
      </c>
      <c r="K116" s="181"/>
      <c r="L116" s="183"/>
    </row>
    <row r="117" spans="1:12" s="93" customFormat="1" ht="37.5">
      <c r="A117" s="105" t="s">
        <v>47</v>
      </c>
      <c r="B117" s="159">
        <f>200-130</f>
        <v>70</v>
      </c>
      <c r="C117" s="99">
        <f>200-130</f>
        <v>70</v>
      </c>
      <c r="D117" s="97">
        <f>15+40+1.2+1.8+2.6</f>
        <v>60.6</v>
      </c>
      <c r="E117" s="98">
        <f>D117/D107*100</f>
        <v>0.020001868161283715</v>
      </c>
      <c r="F117" s="98">
        <f>D117/B117*100</f>
        <v>86.57142857142858</v>
      </c>
      <c r="G117" s="98">
        <f t="shared" si="12"/>
        <v>86.57142857142858</v>
      </c>
      <c r="H117" s="99">
        <f t="shared" si="16"/>
        <v>9.399999999999999</v>
      </c>
      <c r="I117" s="99">
        <f t="shared" si="14"/>
        <v>9.399999999999999</v>
      </c>
      <c r="K117" s="181"/>
      <c r="L117" s="183"/>
    </row>
    <row r="118" spans="1:12" s="93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66.006600660066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1"/>
      <c r="L118" s="183"/>
    </row>
    <row r="119" spans="1:12" s="111" customFormat="1" ht="18.75">
      <c r="A119" s="105" t="s">
        <v>15</v>
      </c>
      <c r="B119" s="159">
        <v>335.611</v>
      </c>
      <c r="C119" s="106">
        <v>491.6</v>
      </c>
      <c r="D119" s="97">
        <f>45.4+9.9+47+6.4+0.4+0.4+45.4+0.4+2.9+45.4+4+6.8+0.4+45.4+0.1+5.8+0.8+0.4+0.8+0.7+13+0.4+5+0.3+0.8</f>
        <v>288.30000000000007</v>
      </c>
      <c r="E119" s="98">
        <f>D119/D107*100</f>
        <v>0.09515740249006759</v>
      </c>
      <c r="F119" s="98">
        <f t="shared" si="15"/>
        <v>85.90302463268489</v>
      </c>
      <c r="G119" s="98">
        <f t="shared" si="12"/>
        <v>58.645240032546795</v>
      </c>
      <c r="H119" s="99">
        <f t="shared" si="16"/>
        <v>47.31099999999992</v>
      </c>
      <c r="I119" s="99">
        <f t="shared" si="14"/>
        <v>203.29999999999995</v>
      </c>
      <c r="K119" s="181"/>
      <c r="L119" s="183"/>
    </row>
    <row r="120" spans="1:12" s="112" customFormat="1" ht="18.75">
      <c r="A120" s="109" t="s">
        <v>43</v>
      </c>
      <c r="B120" s="101">
        <v>272.525</v>
      </c>
      <c r="C120" s="102">
        <v>408.8</v>
      </c>
      <c r="D120" s="103">
        <f>45.4+45.4+45.4+45.4+45.4+0.1</f>
        <v>227.1</v>
      </c>
      <c r="E120" s="104">
        <f>D120/D119*100</f>
        <v>78.77211238293442</v>
      </c>
      <c r="F120" s="104">
        <f t="shared" si="15"/>
        <v>83.3318044216127</v>
      </c>
      <c r="G120" s="104">
        <f t="shared" si="12"/>
        <v>55.55283757338552</v>
      </c>
      <c r="H120" s="102">
        <f t="shared" si="16"/>
        <v>45.42499999999998</v>
      </c>
      <c r="I120" s="102">
        <f t="shared" si="14"/>
        <v>181.70000000000002</v>
      </c>
      <c r="K120" s="181"/>
      <c r="L120" s="183"/>
    </row>
    <row r="121" spans="1:12" s="111" customFormat="1" ht="18.75">
      <c r="A121" s="105" t="s">
        <v>105</v>
      </c>
      <c r="B121" s="159">
        <v>245</v>
      </c>
      <c r="C121" s="106">
        <v>317</v>
      </c>
      <c r="D121" s="97">
        <v>3.6</v>
      </c>
      <c r="E121" s="98">
        <f>D121/D107*100</f>
        <v>0.0011882297917594287</v>
      </c>
      <c r="F121" s="98">
        <f t="shared" si="15"/>
        <v>1.469387755102041</v>
      </c>
      <c r="G121" s="98">
        <f t="shared" si="12"/>
        <v>1.135646687697161</v>
      </c>
      <c r="H121" s="99">
        <f t="shared" si="16"/>
        <v>241.4</v>
      </c>
      <c r="I121" s="99">
        <f t="shared" si="14"/>
        <v>313.4</v>
      </c>
      <c r="K121" s="181"/>
      <c r="L121" s="183"/>
    </row>
    <row r="122" spans="1:12" s="111" customFormat="1" ht="21.75" customHeight="1">
      <c r="A122" s="105" t="s">
        <v>94</v>
      </c>
      <c r="B122" s="159">
        <v>559.999</v>
      </c>
      <c r="C122" s="106">
        <f>480+80</f>
        <v>560</v>
      </c>
      <c r="D122" s="107">
        <f>12+360.2+19.8+20.5+40.3</f>
        <v>452.8</v>
      </c>
      <c r="E122" s="110">
        <f>D122/D107*100</f>
        <v>0.14945290269685257</v>
      </c>
      <c r="F122" s="98">
        <f t="shared" si="15"/>
        <v>80.85728724515579</v>
      </c>
      <c r="G122" s="98">
        <f t="shared" si="12"/>
        <v>80.85714285714286</v>
      </c>
      <c r="H122" s="99">
        <f t="shared" si="16"/>
        <v>107.19900000000001</v>
      </c>
      <c r="I122" s="99">
        <f t="shared" si="14"/>
        <v>107.19999999999999</v>
      </c>
      <c r="J122" s="162"/>
      <c r="K122" s="181"/>
      <c r="L122" s="183"/>
    </row>
    <row r="123" spans="1:12" s="114" customFormat="1" ht="18.75" hidden="1">
      <c r="A123" s="100" t="s">
        <v>80</v>
      </c>
      <c r="B123" s="156"/>
      <c r="C123" s="102"/>
      <c r="D123" s="103"/>
      <c r="E123" s="98"/>
      <c r="F123" s="113" t="e">
        <f>D123/B123*100</f>
        <v>#DIV/0!</v>
      </c>
      <c r="G123" s="104" t="e">
        <f t="shared" si="12"/>
        <v>#DIV/0!</v>
      </c>
      <c r="H123" s="102">
        <f t="shared" si="16"/>
        <v>0</v>
      </c>
      <c r="I123" s="102">
        <f t="shared" si="14"/>
        <v>0</v>
      </c>
      <c r="K123" s="181"/>
      <c r="L123" s="183"/>
    </row>
    <row r="124" spans="1:12" s="114" customFormat="1" ht="18.75" hidden="1">
      <c r="A124" s="100" t="s">
        <v>49</v>
      </c>
      <c r="B124" s="156"/>
      <c r="C124" s="102"/>
      <c r="D124" s="103"/>
      <c r="E124" s="98"/>
      <c r="F124" s="104" t="e">
        <f>D124/B124*100</f>
        <v>#DIV/0!</v>
      </c>
      <c r="G124" s="104" t="e">
        <f t="shared" si="12"/>
        <v>#DIV/0!</v>
      </c>
      <c r="H124" s="102">
        <f t="shared" si="16"/>
        <v>0</v>
      </c>
      <c r="I124" s="102">
        <f t="shared" si="14"/>
        <v>0</v>
      </c>
      <c r="K124" s="181"/>
      <c r="L124" s="183"/>
    </row>
    <row r="125" spans="1:12" s="111" customFormat="1" ht="37.5">
      <c r="A125" s="105" t="s">
        <v>95</v>
      </c>
      <c r="B125" s="159">
        <f>34989.8+800+3134.2+1580</f>
        <v>40504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3529.6+2264.3+1265.3+2996.5+533.1+738.7+2380.2+1722.3+1049.4+1874.1+1476.2+1455.5+94.4+1416+1268.6+1913.6+457.2+1108.2+2510.4+39.4+1337.2+1221+3120.4+2083.6</f>
        <v>37855.200000000004</v>
      </c>
      <c r="E125" s="110">
        <f>D125/D107*100</f>
        <v>12.494632336947646</v>
      </c>
      <c r="F125" s="98">
        <f t="shared" si="15"/>
        <v>93.46039897294095</v>
      </c>
      <c r="G125" s="98">
        <f t="shared" si="12"/>
        <v>60.55737122728211</v>
      </c>
      <c r="H125" s="99">
        <f t="shared" si="16"/>
        <v>2648.7999999999956</v>
      </c>
      <c r="I125" s="99">
        <f t="shared" si="14"/>
        <v>24656.1</v>
      </c>
      <c r="K125" s="181"/>
      <c r="L125" s="183"/>
    </row>
    <row r="126" spans="1:12" s="111" customFormat="1" ht="18.75">
      <c r="A126" s="105" t="s">
        <v>91</v>
      </c>
      <c r="B126" s="159">
        <v>675</v>
      </c>
      <c r="C126" s="106">
        <v>700</v>
      </c>
      <c r="D126" s="107">
        <f>9.6+1.5</f>
        <v>11.1</v>
      </c>
      <c r="E126" s="110">
        <f>D126/D107*100</f>
        <v>0.0036637085245915715</v>
      </c>
      <c r="F126" s="98">
        <f t="shared" si="15"/>
        <v>1.6444444444444446</v>
      </c>
      <c r="G126" s="98">
        <f t="shared" si="12"/>
        <v>1.5857142857142859</v>
      </c>
      <c r="H126" s="99">
        <f t="shared" si="16"/>
        <v>663.9</v>
      </c>
      <c r="I126" s="99">
        <f t="shared" si="14"/>
        <v>688.9</v>
      </c>
      <c r="K126" s="181"/>
      <c r="L126" s="183"/>
    </row>
    <row r="127" spans="1:12" s="111" customFormat="1" ht="37.5">
      <c r="A127" s="105" t="s">
        <v>100</v>
      </c>
      <c r="B127" s="159">
        <v>172</v>
      </c>
      <c r="C127" s="106">
        <f>200+250</f>
        <v>450</v>
      </c>
      <c r="D127" s="107">
        <f>63.1+15.9</f>
        <v>79</v>
      </c>
      <c r="E127" s="110">
        <f>D127/D107*100</f>
        <v>0.026075042652498572</v>
      </c>
      <c r="F127" s="98">
        <f t="shared" si="15"/>
        <v>45.93023255813954</v>
      </c>
      <c r="G127" s="98">
        <f t="shared" si="12"/>
        <v>17.555555555555554</v>
      </c>
      <c r="H127" s="99">
        <f t="shared" si="16"/>
        <v>93</v>
      </c>
      <c r="I127" s="99">
        <f t="shared" si="14"/>
        <v>371</v>
      </c>
      <c r="K127" s="181"/>
      <c r="L127" s="183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0.011387202171027856</v>
      </c>
      <c r="F128" s="98">
        <f t="shared" si="15"/>
        <v>31.053105310531055</v>
      </c>
      <c r="G128" s="98">
        <f t="shared" si="12"/>
        <v>31.053105310531055</v>
      </c>
      <c r="H128" s="99">
        <f t="shared" si="16"/>
        <v>76.6</v>
      </c>
      <c r="I128" s="99">
        <f t="shared" si="14"/>
        <v>76.6</v>
      </c>
      <c r="K128" s="181"/>
      <c r="L128" s="183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8" t="e">
        <f t="shared" si="15"/>
        <v>#DIV/0!</v>
      </c>
      <c r="G129" s="98" t="e">
        <f t="shared" si="12"/>
        <v>#DIV/0!</v>
      </c>
      <c r="H129" s="99">
        <f t="shared" si="16"/>
        <v>0</v>
      </c>
      <c r="I129" s="99">
        <f t="shared" si="14"/>
        <v>0</v>
      </c>
      <c r="K129" s="181"/>
      <c r="L129" s="183"/>
    </row>
    <row r="130" spans="1:12" s="111" customFormat="1" ht="37.5">
      <c r="A130" s="105" t="s">
        <v>57</v>
      </c>
      <c r="B130" s="159">
        <v>776.865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7+4.2+0.1+12.3+0.2+7.1+17.8+14.9+1.7+0.1+7.4+7+2.7+3.7+7.1+5.3+31.3+16.4+2.5+1.7+26.7+0.1+13.8+0.1+2.9+6.5+0.6+7+4.8+0.1+17.3+0.5+7.6+29.1+0.2+0.1+7.4+1+0.1+0.2+0.1+0.4+7.4+2.8+0.8+6.9</f>
        <v>295</v>
      </c>
      <c r="E130" s="110">
        <f>D130/D107*100</f>
        <v>0.09736883015806429</v>
      </c>
      <c r="F130" s="98">
        <f t="shared" si="15"/>
        <v>37.97313561558314</v>
      </c>
      <c r="G130" s="98">
        <f t="shared" si="12"/>
        <v>31.316348195329084</v>
      </c>
      <c r="H130" s="99">
        <f t="shared" si="16"/>
        <v>481.865</v>
      </c>
      <c r="I130" s="99">
        <f t="shared" si="14"/>
        <v>647</v>
      </c>
      <c r="K130" s="181"/>
      <c r="L130" s="183"/>
    </row>
    <row r="131" spans="1:12" s="112" customFormat="1" ht="18.75">
      <c r="A131" s="100" t="s">
        <v>88</v>
      </c>
      <c r="B131" s="101">
        <v>418.65</v>
      </c>
      <c r="C131" s="102">
        <v>510.8</v>
      </c>
      <c r="D131" s="103">
        <f>7+7.1+7+7.1+7+7+7.4+7.4</f>
        <v>57</v>
      </c>
      <c r="E131" s="104">
        <f>D131/D130*100</f>
        <v>19.322033898305087</v>
      </c>
      <c r="F131" s="104">
        <f>D131/B131*100</f>
        <v>13.61519168756718</v>
      </c>
      <c r="G131" s="104">
        <f t="shared" si="12"/>
        <v>11.15896632732968</v>
      </c>
      <c r="H131" s="102">
        <f t="shared" si="16"/>
        <v>361.65</v>
      </c>
      <c r="I131" s="102">
        <f t="shared" si="14"/>
        <v>453.8</v>
      </c>
      <c r="K131" s="181"/>
      <c r="L131" s="183"/>
    </row>
    <row r="132" spans="1:12" s="111" customFormat="1" ht="37.5">
      <c r="A132" s="105" t="s">
        <v>103</v>
      </c>
      <c r="B132" s="159">
        <v>350</v>
      </c>
      <c r="C132" s="106">
        <v>485</v>
      </c>
      <c r="D132" s="107"/>
      <c r="E132" s="110">
        <f>D132/D107*100</f>
        <v>0</v>
      </c>
      <c r="F132" s="108">
        <f t="shared" si="15"/>
        <v>0</v>
      </c>
      <c r="G132" s="98">
        <f t="shared" si="12"/>
        <v>0</v>
      </c>
      <c r="H132" s="99">
        <f t="shared" si="16"/>
        <v>350</v>
      </c>
      <c r="I132" s="99">
        <f t="shared" si="14"/>
        <v>485</v>
      </c>
      <c r="K132" s="181"/>
      <c r="L132" s="183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2"/>
        <v>#DIV/0!</v>
      </c>
      <c r="H133" s="102">
        <f t="shared" si="16"/>
        <v>0</v>
      </c>
      <c r="I133" s="102">
        <f t="shared" si="14"/>
        <v>0</v>
      </c>
      <c r="K133" s="181"/>
      <c r="L133" s="183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8" t="e">
        <f t="shared" si="15"/>
        <v>#DIV/0!</v>
      </c>
      <c r="G134" s="98" t="e">
        <f t="shared" si="12"/>
        <v>#DIV/0!</v>
      </c>
      <c r="H134" s="99">
        <f t="shared" si="16"/>
        <v>0</v>
      </c>
      <c r="I134" s="99">
        <f>C134-D134</f>
        <v>0</v>
      </c>
      <c r="K134" s="181"/>
      <c r="L134" s="183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8" t="e">
        <f t="shared" si="15"/>
        <v>#DIV/0!</v>
      </c>
      <c r="G135" s="98" t="e">
        <f t="shared" si="12"/>
        <v>#DIV/0!</v>
      </c>
      <c r="H135" s="99">
        <f t="shared" si="16"/>
        <v>0</v>
      </c>
      <c r="I135" s="99">
        <f t="shared" si="14"/>
        <v>0</v>
      </c>
      <c r="K135" s="181"/>
      <c r="L135" s="183"/>
    </row>
    <row r="136" spans="1:12" s="111" customFormat="1" ht="35.25" customHeight="1">
      <c r="A136" s="105" t="s">
        <v>87</v>
      </c>
      <c r="B136" s="159">
        <v>280</v>
      </c>
      <c r="C136" s="106">
        <f>383.2+1100</f>
        <v>1483.2</v>
      </c>
      <c r="D136" s="107">
        <f>2.9+1.5+9.7+8.2+0.2-0.4+16+13.6+102.3+20.9+65</f>
        <v>239.9</v>
      </c>
      <c r="E136" s="110">
        <f>D136/D107*100</f>
        <v>0.07918231306752414</v>
      </c>
      <c r="F136" s="98">
        <f t="shared" si="15"/>
        <v>85.67857142857143</v>
      </c>
      <c r="G136" s="98">
        <f t="shared" si="12"/>
        <v>16.174487594390506</v>
      </c>
      <c r="H136" s="99">
        <f t="shared" si="16"/>
        <v>40.099999999999994</v>
      </c>
      <c r="I136" s="99">
        <f t="shared" si="14"/>
        <v>1243.3</v>
      </c>
      <c r="K136" s="181"/>
      <c r="L136" s="183"/>
    </row>
    <row r="137" spans="1:12" s="111" customFormat="1" ht="39" customHeight="1">
      <c r="A137" s="105" t="s">
        <v>54</v>
      </c>
      <c r="B137" s="159">
        <v>240</v>
      </c>
      <c r="C137" s="106">
        <v>350</v>
      </c>
      <c r="D137" s="107">
        <f>3.7+1.9+30+0.6+12.1+11.2+3.6+6</f>
        <v>69.1</v>
      </c>
      <c r="E137" s="110">
        <f>D137/D107*100</f>
        <v>0.02280741072516014</v>
      </c>
      <c r="F137" s="98">
        <f t="shared" si="15"/>
        <v>28.791666666666664</v>
      </c>
      <c r="G137" s="98">
        <f t="shared" si="12"/>
        <v>19.742857142857144</v>
      </c>
      <c r="H137" s="99">
        <f t="shared" si="16"/>
        <v>170.9</v>
      </c>
      <c r="I137" s="99">
        <f t="shared" si="14"/>
        <v>280.9</v>
      </c>
      <c r="K137" s="181"/>
      <c r="L137" s="183"/>
    </row>
    <row r="138" spans="1:12" s="112" customFormat="1" ht="18.75">
      <c r="A138" s="100" t="s">
        <v>88</v>
      </c>
      <c r="B138" s="101">
        <v>74</v>
      </c>
      <c r="C138" s="102">
        <v>110</v>
      </c>
      <c r="D138" s="103">
        <f>3.7+1.9+12.1+11.1+3.6+6</f>
        <v>38.4</v>
      </c>
      <c r="E138" s="104"/>
      <c r="F138" s="98">
        <f>D138/B138*100</f>
        <v>51.891891891891895</v>
      </c>
      <c r="G138" s="104">
        <f>D138/C138*100</f>
        <v>34.90909090909091</v>
      </c>
      <c r="H138" s="102">
        <f>B138-D138</f>
        <v>35.6</v>
      </c>
      <c r="I138" s="102">
        <f>C138-D138</f>
        <v>71.6</v>
      </c>
      <c r="K138" s="181"/>
      <c r="L138" s="183"/>
    </row>
    <row r="139" spans="1:12" s="111" customFormat="1" ht="32.25" customHeight="1">
      <c r="A139" s="105" t="s">
        <v>84</v>
      </c>
      <c r="B139" s="159">
        <v>455.3</v>
      </c>
      <c r="C139" s="106">
        <v>607.7</v>
      </c>
      <c r="D139" s="107">
        <f>76+0.3+41+44+1.8+16.3+2.4+30+0.6+0.2+27.4+0.2+4.5-0.2+31.4+4.5+7.9+26.6+4.5+0.5+26.6+0.3+4.3+1.1+0.3+24</f>
        <v>376.5000000000001</v>
      </c>
      <c r="E139" s="110">
        <f>D139/D107*100</f>
        <v>0.12426903238817359</v>
      </c>
      <c r="F139" s="98">
        <f>D139/B139*100</f>
        <v>82.692730068087</v>
      </c>
      <c r="G139" s="98">
        <f>D139/C139*100</f>
        <v>61.95491196313972</v>
      </c>
      <c r="H139" s="99">
        <f t="shared" si="16"/>
        <v>78.7999999999999</v>
      </c>
      <c r="I139" s="99">
        <f t="shared" si="14"/>
        <v>231.19999999999993</v>
      </c>
      <c r="K139" s="181"/>
      <c r="L139" s="183"/>
    </row>
    <row r="140" spans="1:12" s="112" customFormat="1" ht="18.75">
      <c r="A140" s="100" t="s">
        <v>25</v>
      </c>
      <c r="B140" s="101">
        <v>365.2</v>
      </c>
      <c r="C140" s="102">
        <v>489.6</v>
      </c>
      <c r="D140" s="103">
        <f>76+37.6+44+1.2+0.7+30+27.4+30.6+0.6+26+0.5+26+0.3+24</f>
        <v>324.9</v>
      </c>
      <c r="E140" s="104">
        <f>D140/D139*100</f>
        <v>86.29482071713144</v>
      </c>
      <c r="F140" s="104">
        <f t="shared" si="15"/>
        <v>88.96495071193866</v>
      </c>
      <c r="G140" s="104">
        <f>D140/C140*100</f>
        <v>66.36029411764706</v>
      </c>
      <c r="H140" s="102">
        <f t="shared" si="16"/>
        <v>40.30000000000001</v>
      </c>
      <c r="I140" s="102">
        <f t="shared" si="14"/>
        <v>164.70000000000005</v>
      </c>
      <c r="K140" s="181"/>
      <c r="L140" s="183"/>
    </row>
    <row r="141" spans="1:12" s="111" customFormat="1" ht="18.75">
      <c r="A141" s="105" t="s">
        <v>96</v>
      </c>
      <c r="B141" s="159">
        <v>1374.25878</v>
      </c>
      <c r="C141" s="106">
        <v>1760</v>
      </c>
      <c r="D141" s="107">
        <f>107.3+0.4+30.4+78.2+4.1+36.9+117.9+50.5+112.6+5.2+52.3+10.5+76.8-0.2+10.4+82.9+84+50.5+35.7+3.4+90.4+1.3+74.9+86.3+10.5+56.2</f>
        <v>1269.4</v>
      </c>
      <c r="E141" s="110">
        <f>D141/D107*100</f>
        <v>0.4189830271276163</v>
      </c>
      <c r="F141" s="98">
        <f t="shared" si="15"/>
        <v>92.36979370071772</v>
      </c>
      <c r="G141" s="98">
        <f t="shared" si="12"/>
        <v>72.125</v>
      </c>
      <c r="H141" s="99">
        <f t="shared" si="16"/>
        <v>104.8587799999998</v>
      </c>
      <c r="I141" s="99">
        <f t="shared" si="14"/>
        <v>490.5999999999999</v>
      </c>
      <c r="J141" s="162"/>
      <c r="K141" s="181"/>
      <c r="L141" s="183"/>
    </row>
    <row r="142" spans="1:12" s="112" customFormat="1" ht="18.75">
      <c r="A142" s="109" t="s">
        <v>43</v>
      </c>
      <c r="B142" s="101">
        <v>1108.84915</v>
      </c>
      <c r="C142" s="102">
        <v>1437.4</v>
      </c>
      <c r="D142" s="103">
        <f>107.3+25.4+76+34+76.6+47.2+83.8+4.5+35.4+76.8-0.2+60.7+81+50.4+90.4+52.9+85+10.5+37.7</f>
        <v>1035.3999999999999</v>
      </c>
      <c r="E142" s="104">
        <f>D142/D141*100</f>
        <v>81.56609421774064</v>
      </c>
      <c r="F142" s="104">
        <f aca="true" t="shared" si="17" ref="F142:F151">D142/B142*100</f>
        <v>93.37609177948144</v>
      </c>
      <c r="G142" s="104">
        <f t="shared" si="12"/>
        <v>72.03283706692638</v>
      </c>
      <c r="H142" s="102">
        <f t="shared" si="16"/>
        <v>73.44915000000015</v>
      </c>
      <c r="I142" s="102">
        <f t="shared" si="14"/>
        <v>402.0000000000002</v>
      </c>
      <c r="J142" s="163"/>
      <c r="K142" s="181"/>
      <c r="L142" s="183"/>
    </row>
    <row r="143" spans="1:13" s="112" customFormat="1" ht="18.75">
      <c r="A143" s="100" t="s">
        <v>25</v>
      </c>
      <c r="B143" s="101">
        <v>28.68</v>
      </c>
      <c r="C143" s="102">
        <v>40</v>
      </c>
      <c r="D143" s="103">
        <f>0.4+4.9+0.7+4.7+3.3+0.4+0.7+0.6+0.1+0.1</f>
        <v>15.899999999999999</v>
      </c>
      <c r="E143" s="104">
        <f>D143/D141*100</f>
        <v>1.2525602646919802</v>
      </c>
      <c r="F143" s="104">
        <f t="shared" si="17"/>
        <v>55.43933054393305</v>
      </c>
      <c r="G143" s="104">
        <f>D143/C143*100</f>
        <v>39.75</v>
      </c>
      <c r="H143" s="102">
        <f t="shared" si="16"/>
        <v>12.780000000000001</v>
      </c>
      <c r="I143" s="102">
        <f t="shared" si="14"/>
        <v>24.1</v>
      </c>
      <c r="J143" s="163"/>
      <c r="K143" s="181"/>
      <c r="L143" s="183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0.1764191176931707</v>
      </c>
      <c r="F144" s="98">
        <f t="shared" si="17"/>
        <v>85.58847077662129</v>
      </c>
      <c r="G144" s="98">
        <f t="shared" si="12"/>
        <v>85.58847077662129</v>
      </c>
      <c r="H144" s="99">
        <f t="shared" si="16"/>
        <v>90</v>
      </c>
      <c r="I144" s="99">
        <f t="shared" si="14"/>
        <v>90</v>
      </c>
      <c r="J144" s="162"/>
      <c r="K144" s="181"/>
      <c r="L144" s="183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2"/>
        <v>#DIV/0!</v>
      </c>
      <c r="H145" s="99">
        <f t="shared" si="16"/>
        <v>0</v>
      </c>
      <c r="I145" s="99">
        <f t="shared" si="14"/>
        <v>0</v>
      </c>
      <c r="J145" s="162"/>
      <c r="K145" s="181"/>
      <c r="L145" s="183"/>
    </row>
    <row r="146" spans="1:12" s="111" customFormat="1" ht="18.75">
      <c r="A146" s="115" t="s">
        <v>97</v>
      </c>
      <c r="B146" s="159">
        <f>49356.85984+3950</f>
        <v>53306.85984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</f>
        <v>51926.00000000001</v>
      </c>
      <c r="E146" s="110">
        <f>D146/D107*100</f>
        <v>17.13889449080558</v>
      </c>
      <c r="F146" s="98">
        <f t="shared" si="17"/>
        <v>97.40960198341334</v>
      </c>
      <c r="G146" s="98">
        <f t="shared" si="12"/>
        <v>42.594170883620286</v>
      </c>
      <c r="H146" s="99">
        <f t="shared" si="16"/>
        <v>1380.85983999999</v>
      </c>
      <c r="I146" s="99">
        <f t="shared" si="14"/>
        <v>69982.70000000001</v>
      </c>
      <c r="J146" s="162"/>
      <c r="K146" s="181"/>
      <c r="L146" s="183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8" t="e">
        <f t="shared" si="17"/>
        <v>#DIV/0!</v>
      </c>
      <c r="G147" s="98" t="e">
        <f t="shared" si="12"/>
        <v>#DIV/0!</v>
      </c>
      <c r="H147" s="99">
        <f t="shared" si="16"/>
        <v>0</v>
      </c>
      <c r="I147" s="99">
        <f t="shared" si="14"/>
        <v>0</v>
      </c>
      <c r="J147" s="162"/>
      <c r="K147" s="181"/>
      <c r="L147" s="183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2"/>
      <c r="K148" s="181"/>
      <c r="L148" s="183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46.4+43+38.8</f>
        <v>128.2</v>
      </c>
      <c r="E149" s="110">
        <f>D149/D107*100</f>
        <v>0.04231418313987743</v>
      </c>
      <c r="F149" s="98">
        <f t="shared" si="17"/>
        <v>100.00229334432473</v>
      </c>
      <c r="G149" s="98">
        <f t="shared" si="12"/>
        <v>78.98952556993221</v>
      </c>
      <c r="H149" s="99">
        <f t="shared" si="16"/>
        <v>-0.0029399999999952797</v>
      </c>
      <c r="I149" s="99">
        <f t="shared" si="14"/>
        <v>34.10000000000002</v>
      </c>
      <c r="J149" s="162"/>
      <c r="K149" s="181"/>
      <c r="L149" s="183"/>
    </row>
    <row r="150" spans="1:12" s="111" customFormat="1" ht="18" customHeight="1">
      <c r="A150" s="105" t="s">
        <v>77</v>
      </c>
      <c r="B150" s="159">
        <f>9577.3-2000</f>
        <v>7577.299999999999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2.202284899876787</v>
      </c>
      <c r="F150" s="98">
        <f t="shared" si="17"/>
        <v>88.05643171050373</v>
      </c>
      <c r="G150" s="98">
        <f t="shared" si="12"/>
        <v>59.45996524528806</v>
      </c>
      <c r="H150" s="99">
        <f t="shared" si="16"/>
        <v>905</v>
      </c>
      <c r="I150" s="99">
        <f t="shared" si="14"/>
        <v>4549.200000000001</v>
      </c>
      <c r="J150" s="162"/>
      <c r="K150" s="181"/>
      <c r="L150" s="183"/>
    </row>
    <row r="151" spans="1:12" s="111" customFormat="1" ht="19.5" customHeight="1">
      <c r="A151" s="145" t="s">
        <v>50</v>
      </c>
      <c r="B151" s="161">
        <f>266592.6+280-1580</f>
        <v>265292.6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</f>
        <v>169423.80000000005</v>
      </c>
      <c r="E151" s="148">
        <f>D151/D107*100</f>
        <v>55.92066849808087</v>
      </c>
      <c r="F151" s="149">
        <f t="shared" si="17"/>
        <v>63.86299504773223</v>
      </c>
      <c r="G151" s="149">
        <f t="shared" si="12"/>
        <v>52.51661526816134</v>
      </c>
      <c r="H151" s="150">
        <f t="shared" si="16"/>
        <v>95868.79999999993</v>
      </c>
      <c r="I151" s="150">
        <f>C151-D151</f>
        <v>153186.09999999998</v>
      </c>
      <c r="K151" s="181"/>
      <c r="L151" s="183"/>
    </row>
    <row r="152" spans="1:12" s="111" customFormat="1" ht="18.75">
      <c r="A152" s="105" t="s">
        <v>99</v>
      </c>
      <c r="B152" s="159">
        <v>31674.1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</f>
        <v>29327.899999999987</v>
      </c>
      <c r="E152" s="110">
        <f>D152/D107*100</f>
        <v>9.680079030483704</v>
      </c>
      <c r="F152" s="98">
        <f t="shared" si="15"/>
        <v>92.5926861378855</v>
      </c>
      <c r="G152" s="98">
        <f t="shared" si="12"/>
        <v>69.44473385110813</v>
      </c>
      <c r="H152" s="99">
        <f t="shared" si="16"/>
        <v>2346.2000000000116</v>
      </c>
      <c r="I152" s="99">
        <f t="shared" si="14"/>
        <v>12904.100000000013</v>
      </c>
      <c r="K152" s="181"/>
      <c r="L152" s="183"/>
    </row>
    <row r="153" spans="1:12" s="2" customFormat="1" ht="19.5" thickBot="1">
      <c r="A153" s="29" t="s">
        <v>29</v>
      </c>
      <c r="B153" s="160"/>
      <c r="C153" s="63"/>
      <c r="D153" s="44">
        <f>D43+D69+D72+D77+D79+D87+D102+D107+D100+D84+D98</f>
        <v>312634.79999999993</v>
      </c>
      <c r="E153" s="15"/>
      <c r="F153" s="15"/>
      <c r="G153" s="6"/>
      <c r="H153" s="52"/>
      <c r="I153" s="44"/>
      <c r="K153" s="181"/>
      <c r="L153" s="184"/>
    </row>
    <row r="154" spans="1:12" ht="19.5" thickBot="1">
      <c r="A154" s="12" t="s">
        <v>18</v>
      </c>
      <c r="B154" s="40">
        <f>B6+B18+B33+B43+B51+B59+B69+B72+B77+B79+B87+B90+B95+B102+B107+B100+B84+B98+B45</f>
        <v>1593164.49419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1350620.2</v>
      </c>
      <c r="E154" s="28">
        <v>100</v>
      </c>
      <c r="F154" s="3">
        <f>D154/B154*100</f>
        <v>84.77594152552874</v>
      </c>
      <c r="G154" s="3">
        <f aca="true" t="shared" si="18" ref="G154:G160">D154/C154*100</f>
        <v>61.212427559465844</v>
      </c>
      <c r="H154" s="40">
        <f aca="true" t="shared" si="19" ref="H154:H160">B154-D154</f>
        <v>242544.29419000004</v>
      </c>
      <c r="I154" s="40">
        <f aca="true" t="shared" si="20" ref="I154:I160">C154-D154</f>
        <v>855827.4999999998</v>
      </c>
      <c r="K154" s="185"/>
      <c r="L154" s="186"/>
    </row>
    <row r="155" spans="1:12" ht="18.75">
      <c r="A155" s="16" t="s">
        <v>5</v>
      </c>
      <c r="B155" s="51">
        <f>B8+B20+B34+B52+B60+B91+B115+B120+B46+B142+B133+B103</f>
        <v>679255.83495</v>
      </c>
      <c r="C155" s="51">
        <f>C8+C20+C34+C52+C60+C91+C115+C120+C46+C142+C133+C103</f>
        <v>897180</v>
      </c>
      <c r="D155" s="51">
        <f>D8+D20+D34+D52+D60+D91+D115+D120+D46+D142+D133+D103</f>
        <v>615682.4100000003</v>
      </c>
      <c r="E155" s="6">
        <f>D155/D154*100</f>
        <v>45.58516228322368</v>
      </c>
      <c r="F155" s="6">
        <f aca="true" t="shared" si="21" ref="F155:F160">D155/B155*100</f>
        <v>90.64072449893943</v>
      </c>
      <c r="G155" s="6">
        <f t="shared" si="18"/>
        <v>68.62417909449611</v>
      </c>
      <c r="H155" s="52">
        <f t="shared" si="19"/>
        <v>63573.42494999978</v>
      </c>
      <c r="I155" s="62">
        <f t="shared" si="20"/>
        <v>281497.58999999973</v>
      </c>
      <c r="K155" s="181"/>
      <c r="L155" s="186"/>
    </row>
    <row r="156" spans="1:12" ht="18.75">
      <c r="A156" s="16" t="s">
        <v>0</v>
      </c>
      <c r="B156" s="52">
        <f>B11+B23+B36+B55+B62+B92+B49+B143+B109+B112+B96+B140+B129</f>
        <v>70312.61764</v>
      </c>
      <c r="C156" s="52">
        <f>C11+C23+C36+C55+C62+C92+C49+C143+C109+C112+C96+C140+C129</f>
        <v>110563.99999999999</v>
      </c>
      <c r="D156" s="52">
        <f>D11+D23+D36+D55+D62+D92+D49+D143+D109+D112+D96+D140+D129</f>
        <v>65521.799999999974</v>
      </c>
      <c r="E156" s="6">
        <f>D156/D154*100</f>
        <v>4.851237972007229</v>
      </c>
      <c r="F156" s="6">
        <f t="shared" si="21"/>
        <v>93.1864040896202</v>
      </c>
      <c r="G156" s="6">
        <f t="shared" si="18"/>
        <v>59.2614232480735</v>
      </c>
      <c r="H156" s="52">
        <f>B156-D156</f>
        <v>4790.817640000023</v>
      </c>
      <c r="I156" s="62">
        <f t="shared" si="20"/>
        <v>45042.20000000001</v>
      </c>
      <c r="K156" s="181"/>
      <c r="L156" s="187"/>
    </row>
    <row r="157" spans="1:12" ht="18.75">
      <c r="A157" s="16" t="s">
        <v>1</v>
      </c>
      <c r="B157" s="51">
        <f>B22+B10+B54+B48+B61+B35+B124</f>
        <v>29408.225</v>
      </c>
      <c r="C157" s="51">
        <f>C22+C10+C54+C48+C61+C35+C124</f>
        <v>42113.5</v>
      </c>
      <c r="D157" s="51">
        <f>D22+D10+D54+D48+D61+D35+D124</f>
        <v>22089.399999999994</v>
      </c>
      <c r="E157" s="6">
        <f>D157/D154*100</f>
        <v>1.635500490811554</v>
      </c>
      <c r="F157" s="6">
        <f t="shared" si="21"/>
        <v>75.11299984953187</v>
      </c>
      <c r="G157" s="6">
        <f t="shared" si="18"/>
        <v>52.452064064967274</v>
      </c>
      <c r="H157" s="52">
        <f t="shared" si="19"/>
        <v>7318.825000000004</v>
      </c>
      <c r="I157" s="62">
        <f t="shared" si="20"/>
        <v>20024.100000000006</v>
      </c>
      <c r="K157" s="181"/>
      <c r="L157" s="186"/>
    </row>
    <row r="158" spans="1:12" ht="21" customHeight="1">
      <c r="A158" s="16" t="s">
        <v>14</v>
      </c>
      <c r="B158" s="51">
        <f>B12+B24+B104+B63+B38+B93+B131+B56+B138+B118</f>
        <v>24600.521640000003</v>
      </c>
      <c r="C158" s="51">
        <f>C12+C24+C104+C63+C38+C93+C131+C56+C138+C118</f>
        <v>30298.8</v>
      </c>
      <c r="D158" s="51">
        <f>D12+D24+D104+D63+D38+D93+D131+D56+D138+D118</f>
        <v>20408.000000000004</v>
      </c>
      <c r="E158" s="6">
        <f>D158/D154*100</f>
        <v>1.5110095347307855</v>
      </c>
      <c r="F158" s="6">
        <f t="shared" si="21"/>
        <v>82.95759048790642</v>
      </c>
      <c r="G158" s="6">
        <f t="shared" si="18"/>
        <v>67.35580287008067</v>
      </c>
      <c r="H158" s="52">
        <f>B158-D158</f>
        <v>4192.521639999999</v>
      </c>
      <c r="I158" s="62">
        <f t="shared" si="20"/>
        <v>9890.799999999996</v>
      </c>
      <c r="K158" s="181"/>
      <c r="L158" s="187"/>
    </row>
    <row r="159" spans="1:12" ht="18.75">
      <c r="A159" s="16" t="s">
        <v>2</v>
      </c>
      <c r="B159" s="51">
        <f>B9+B21+B47+B53+B123</f>
        <v>57.89235000000001</v>
      </c>
      <c r="C159" s="51">
        <f>C9+C21+C47+C53+C123</f>
        <v>114.48435</v>
      </c>
      <c r="D159" s="51">
        <f>D9+D21+D47+D53+D123</f>
        <v>26.4</v>
      </c>
      <c r="E159" s="6">
        <f>D159/D154*100</f>
        <v>0.0019546575713883145</v>
      </c>
      <c r="F159" s="6">
        <f t="shared" si="21"/>
        <v>45.60188004114533</v>
      </c>
      <c r="G159" s="6">
        <f t="shared" si="18"/>
        <v>23.059920417070103</v>
      </c>
      <c r="H159" s="52">
        <f t="shared" si="19"/>
        <v>31.49235000000001</v>
      </c>
      <c r="I159" s="62">
        <f t="shared" si="20"/>
        <v>88.08435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789529.40261</v>
      </c>
      <c r="C160" s="64">
        <f>C154-C155-C156-C157-C158-C159</f>
        <v>1126176.9156499996</v>
      </c>
      <c r="D160" s="64">
        <f>D154-D155-D156-D157-D158-D159</f>
        <v>626892.1899999997</v>
      </c>
      <c r="E160" s="31">
        <f>D160/D154*100</f>
        <v>46.41513506165536</v>
      </c>
      <c r="F160" s="31">
        <f t="shared" si="21"/>
        <v>79.40074022926066</v>
      </c>
      <c r="G160" s="31">
        <f t="shared" si="18"/>
        <v>55.66551589615687</v>
      </c>
      <c r="H160" s="89">
        <f t="shared" si="19"/>
        <v>162637.21261000028</v>
      </c>
      <c r="I160" s="89">
        <f t="shared" si="20"/>
        <v>499284.7256499999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1350620.2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1350620.2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2018-09-07T09:37:46Z</cp:lastPrinted>
  <dcterms:created xsi:type="dcterms:W3CDTF">2000-06-20T04:48:00Z</dcterms:created>
  <dcterms:modified xsi:type="dcterms:W3CDTF">2018-09-18T14:05:19Z</dcterms:modified>
  <cp:category/>
  <cp:version/>
  <cp:contentType/>
  <cp:contentStatus/>
</cp:coreProperties>
</file>